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an\Desktop\CIS.Assignments\"/>
    </mc:Choice>
  </mc:AlternateContent>
  <bookViews>
    <workbookView xWindow="0" yWindow="0" windowWidth="28800" windowHeight="11835" tabRatio="841"/>
  </bookViews>
  <sheets>
    <sheet name="Contents" sheetId="3" r:id="rId1"/>
    <sheet name="Sources" sheetId="1" r:id="rId2"/>
    <sheet name="Adipose" sheetId="20" r:id="rId3"/>
    <sheet name="Aorta" sheetId="6" r:id="rId4"/>
    <sheet name="Bladder" sheetId="19" r:id="rId5"/>
    <sheet name="Blood" sheetId="9" r:id="rId6"/>
    <sheet name="Bone" sheetId="21" r:id="rId7"/>
    <sheet name="Bowel" sheetId="22" r:id="rId8"/>
    <sheet name="Brain" sheetId="16" r:id="rId9"/>
    <sheet name="Heart" sheetId="17" r:id="rId10"/>
    <sheet name="Kidney" sheetId="18" r:id="rId11"/>
    <sheet name="Liver" sheetId="15" r:id="rId12"/>
    <sheet name="Lung" sheetId="14" r:id="rId13"/>
    <sheet name="Muscle" sheetId="13" r:id="rId14"/>
    <sheet name="Skin" sheetId="2" r:id="rId15"/>
    <sheet name="Stomach" sheetId="23" r:id="rId16"/>
    <sheet name="Uterus" sheetId="12" r:id="rId17"/>
    <sheet name="Summary" sheetId="27" r:id="rId18"/>
    <sheet name="A" sheetId="5" r:id="rId19"/>
    <sheet name="B" sheetId="24" r:id="rId20"/>
    <sheet name="C" sheetId="25" r:id="rId21"/>
    <sheet name="D" sheetId="2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0" i="27" l="1"/>
  <c r="G279" i="27"/>
  <c r="F278" i="27"/>
  <c r="D276" i="27"/>
  <c r="E188" i="27"/>
  <c r="G180" i="27"/>
  <c r="F178" i="27"/>
  <c r="E177" i="27"/>
  <c r="E176" i="27"/>
  <c r="D175" i="27"/>
  <c r="C174" i="27"/>
  <c r="K170" i="27"/>
  <c r="J169" i="27"/>
  <c r="I135" i="27"/>
  <c r="H134" i="27"/>
  <c r="E125" i="27"/>
  <c r="F72" i="27"/>
  <c r="F71" i="27"/>
  <c r="C67" i="27"/>
  <c r="J16" i="27"/>
  <c r="H14" i="27"/>
  <c r="G13" i="27"/>
  <c r="E9" i="27"/>
  <c r="E5" i="23" l="1"/>
  <c r="E4" i="23"/>
  <c r="E3" i="23"/>
  <c r="E2" i="23"/>
  <c r="E8" i="14"/>
  <c r="E7" i="14"/>
  <c r="E6" i="14"/>
  <c r="E5" i="14"/>
  <c r="E21" i="15"/>
  <c r="E20" i="15"/>
  <c r="E19" i="15"/>
  <c r="E18" i="15"/>
  <c r="E5" i="18"/>
  <c r="E4" i="18"/>
  <c r="E3" i="18"/>
  <c r="E2" i="18"/>
  <c r="E7" i="17"/>
  <c r="E6" i="17"/>
  <c r="E5" i="17"/>
  <c r="E4" i="17"/>
  <c r="E5" i="22"/>
  <c r="E4" i="22"/>
  <c r="E3" i="22"/>
  <c r="E2" i="22"/>
  <c r="E13" i="21"/>
  <c r="E12" i="21"/>
  <c r="E11" i="21"/>
  <c r="E10" i="21"/>
  <c r="E5" i="20"/>
  <c r="E8" i="20"/>
  <c r="E7" i="20"/>
  <c r="E6" i="20"/>
  <c r="E21" i="1"/>
  <c r="E22" i="1"/>
  <c r="E23" i="1"/>
  <c r="E24" i="1"/>
  <c r="D22" i="1"/>
  <c r="D23" i="1"/>
  <c r="D24" i="1"/>
  <c r="D21" i="1"/>
  <c r="J37" i="20"/>
  <c r="J38" i="20"/>
  <c r="J39" i="20"/>
  <c r="J36" i="20"/>
  <c r="J33" i="20"/>
  <c r="J34" i="20"/>
  <c r="J35" i="20"/>
  <c r="J32" i="20"/>
  <c r="J29" i="20"/>
  <c r="J30" i="20"/>
  <c r="J31" i="20"/>
  <c r="J28" i="20"/>
  <c r="J25" i="20"/>
  <c r="J26" i="20"/>
  <c r="J27" i="20"/>
  <c r="J24" i="20"/>
  <c r="J27" i="15"/>
  <c r="J26" i="15"/>
  <c r="J25" i="15"/>
  <c r="J24" i="15"/>
  <c r="J17" i="21"/>
  <c r="J18" i="21"/>
  <c r="J19" i="21"/>
  <c r="J16" i="21"/>
  <c r="J31" i="16"/>
  <c r="J32" i="16"/>
  <c r="J33" i="16"/>
  <c r="J30" i="16"/>
  <c r="J27" i="16"/>
  <c r="J28" i="16"/>
  <c r="J29" i="16"/>
  <c r="J26" i="16"/>
  <c r="J23" i="16"/>
  <c r="J24" i="16"/>
  <c r="J25" i="16"/>
  <c r="J22" i="16"/>
  <c r="J19" i="16"/>
  <c r="J20" i="16"/>
  <c r="J21" i="16"/>
  <c r="J18" i="16"/>
  <c r="J27" i="2" l="1"/>
  <c r="J26" i="2"/>
  <c r="J25" i="2"/>
  <c r="E27" i="2"/>
  <c r="E26" i="2"/>
  <c r="E25" i="2"/>
  <c r="J11" i="14"/>
  <c r="J10" i="14"/>
  <c r="E11" i="14"/>
  <c r="E10" i="14"/>
  <c r="J23" i="15"/>
  <c r="E23" i="15"/>
  <c r="J10" i="17"/>
  <c r="J9" i="17"/>
  <c r="E10" i="17"/>
  <c r="E9" i="17"/>
  <c r="J7" i="22"/>
  <c r="J6" i="22"/>
  <c r="J17" i="16"/>
  <c r="J16" i="16"/>
  <c r="J15" i="16"/>
  <c r="J14" i="16"/>
  <c r="J13" i="16"/>
  <c r="E17" i="16"/>
  <c r="E16" i="16"/>
  <c r="E15" i="16"/>
  <c r="E14" i="16"/>
  <c r="E13" i="16"/>
  <c r="J15" i="21"/>
  <c r="J14" i="21"/>
  <c r="E15" i="21"/>
  <c r="E14" i="21"/>
  <c r="J8" i="19"/>
  <c r="J7" i="19"/>
  <c r="E8" i="19"/>
  <c r="E7" i="19"/>
  <c r="J14" i="9" l="1"/>
  <c r="J13" i="9"/>
  <c r="J12" i="9"/>
  <c r="J11" i="9"/>
  <c r="J5" i="23"/>
  <c r="J4" i="23"/>
  <c r="J3" i="23"/>
  <c r="J2" i="23"/>
  <c r="J24" i="2"/>
  <c r="J23" i="2"/>
  <c r="J22" i="2"/>
  <c r="J21" i="2"/>
  <c r="J20" i="13"/>
  <c r="J19" i="13"/>
  <c r="J18" i="13"/>
  <c r="J17" i="13"/>
  <c r="J8" i="14"/>
  <c r="J7" i="14"/>
  <c r="J6" i="14"/>
  <c r="J5" i="14"/>
  <c r="J21" i="15"/>
  <c r="J20" i="15"/>
  <c r="J19" i="15"/>
  <c r="J18" i="15"/>
  <c r="J5" i="18"/>
  <c r="J4" i="18"/>
  <c r="J3" i="18"/>
  <c r="J2" i="18"/>
  <c r="J7" i="17"/>
  <c r="J6" i="17"/>
  <c r="J5" i="17"/>
  <c r="J4" i="17"/>
  <c r="J3" i="22"/>
  <c r="J4" i="22"/>
  <c r="J5" i="22"/>
  <c r="J2" i="22"/>
  <c r="J13" i="21"/>
  <c r="J12" i="21"/>
  <c r="J11" i="21"/>
  <c r="J10" i="21"/>
  <c r="J8" i="20"/>
  <c r="J7" i="20"/>
  <c r="J6" i="20"/>
  <c r="J5" i="20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6" l="1"/>
  <c r="E6" i="6"/>
  <c r="F5" i="6"/>
  <c r="E5" i="6"/>
  <c r="F4" i="6"/>
  <c r="E4" i="6"/>
</calcChain>
</file>

<file path=xl/sharedStrings.xml><?xml version="1.0" encoding="utf-8"?>
<sst xmlns="http://schemas.openxmlformats.org/spreadsheetml/2006/main" count="2306" uniqueCount="247">
  <si>
    <t xml:space="preserve"> Jacques SL. Optical properties of biological tissues: a review. Phys. Med. Biol. 2013;58:R37–R61.</t>
  </si>
  <si>
    <t>Welch AJ, Gemert MJC. Optical-thermal response of laser-irradiated tissue. Dordrecht: Springer; 2011.</t>
  </si>
  <si>
    <t>Cheong WF, Prahl SA, Welch AJ. A review of the optical properties of biological tissues. IEEE Journal of Quantum Electronics. 1990;26:2166–2185.</t>
  </si>
  <si>
    <t>Jacques SL, Prahl SA. Modeling optical and thermal distributions in tissue during laser irradiation. Lasers Surg Med. 1987;6:494–503.</t>
  </si>
  <si>
    <t>Kienle A, Lilge L, Patterson MS, et al. Spatially resolved absolute diffuse reflectance measurements for noninvasive determination of the optical scattering and absorption coefficients of biological tissue. Appl. Opt. 1996;35:2304–2314.</t>
  </si>
  <si>
    <t>Torricelli A, Pifferi A, Taroni P, et al. In vivo optical characterization of human tissues from 610 to 1010 nm by time-resolved reflectance spectroscopy. Phys. Med. Biol. 2001;46:2227–2237.</t>
  </si>
  <si>
    <t>Firbank M, Hiraoka M, Essenpreis M, et al. Measurement of the optical properties of the skull in the wavelength range 650-950 nm. Phys. Med. Biol. 1993;38:503–510.</t>
  </si>
  <si>
    <t xml:space="preserve">Honda N, Ishii K, Terada T, Nanjo T, Awazu K; Determination of the tumor tissue optical properties during and after photodynamic therapy using inverse monte carlo method and double integrating sphere between 350 and 1000 nm. J. Biomed. Opt. 0001;16(5):058003-058003-7.  doi:10.1117/1.3581111.
</t>
  </si>
  <si>
    <r>
      <t>Sandell, J.L., &amp; Zhu, T.C. (2011). A review of in-vivo optical properties of human tissues and its impact on PDT.</t>
    </r>
    <r>
      <rPr>
        <i/>
        <sz val="11"/>
        <color rgb="FF404040"/>
        <rFont val="Calibri"/>
        <family val="2"/>
        <scheme val="minor"/>
      </rPr>
      <t> Journal of Biophotonics, 4</t>
    </r>
    <r>
      <rPr>
        <sz val="11"/>
        <color rgb="FF404040"/>
        <rFont val="Calibri"/>
        <family val="2"/>
        <scheme val="minor"/>
      </rPr>
      <t>(11-12), 773-787.</t>
    </r>
  </si>
  <si>
    <r>
      <t>Bashkatov, A.N., Genina, E.A., Tuchin, V.V. (2011). Optical properties of skin, subcutaneous, and muscle tissues: A review.</t>
    </r>
    <r>
      <rPr>
        <i/>
        <sz val="11"/>
        <color rgb="FF404040"/>
        <rFont val="Calibri"/>
        <family val="2"/>
        <scheme val="minor"/>
      </rPr>
      <t> Journal of Innovative Optical Health Sciences, 04</t>
    </r>
    <r>
      <rPr>
        <sz val="11"/>
        <color rgb="FF404040"/>
        <rFont val="Calibri"/>
        <family val="2"/>
        <scheme val="minor"/>
      </rPr>
      <t>(01), 9-38.</t>
    </r>
  </si>
  <si>
    <t>Alexandrakis G, and Rannou FR, and Chatziioannou AF. - Tomographic bioluminescence imaging by use of a combined optical-PET (OPET) system: A computer simulation feasibility study. - Physics in Medicine and Biology(- 17):- 4225.</t>
  </si>
  <si>
    <t>Wang Ge, Cong Wenxiang , Durairaj Kumar, Qian  Xin, Shen Haiou, Sinn Patrick, Hoffman Eric, McLennan Geoffrey, and Henry Michael, "In vivo mouse studies with bioluminescence tomography," Opt. Express 14, 7801-7809 (2006)</t>
  </si>
  <si>
    <t>Contents</t>
  </si>
  <si>
    <t>Sources</t>
  </si>
  <si>
    <t>Skin</t>
  </si>
  <si>
    <t>Sheet</t>
  </si>
  <si>
    <t>Table of Contents</t>
  </si>
  <si>
    <t>Year</t>
  </si>
  <si>
    <t>Paper</t>
  </si>
  <si>
    <t>absorbance</t>
  </si>
  <si>
    <t>scattering</t>
  </si>
  <si>
    <t>anisotropy</t>
  </si>
  <si>
    <t>wavelength</t>
  </si>
  <si>
    <t>nm</t>
  </si>
  <si>
    <t>1/cm</t>
  </si>
  <si>
    <t>year</t>
  </si>
  <si>
    <t>source</t>
  </si>
  <si>
    <t>Jacques</t>
  </si>
  <si>
    <t>reduced scattering</t>
  </si>
  <si>
    <t>note</t>
  </si>
  <si>
    <t>Table II</t>
  </si>
  <si>
    <t>Cheong</t>
  </si>
  <si>
    <t>stdev</t>
  </si>
  <si>
    <t>Aorta</t>
  </si>
  <si>
    <t>Blood</t>
  </si>
  <si>
    <t>Liver</t>
  </si>
  <si>
    <t>Muscle</t>
  </si>
  <si>
    <t>Uterus</t>
  </si>
  <si>
    <t>in situ, chicken, from Marijnissen 1985</t>
  </si>
  <si>
    <t xml:space="preserve">Cheong </t>
  </si>
  <si>
    <t>Firbank</t>
  </si>
  <si>
    <t>physical and chemical composition of bone of large mammals does not vary greatly</t>
  </si>
  <si>
    <t>1/mm</t>
  </si>
  <si>
    <t>Adipose</t>
  </si>
  <si>
    <t>Bladder</t>
  </si>
  <si>
    <t>Bone</t>
  </si>
  <si>
    <t>Brain</t>
  </si>
  <si>
    <t>Heart</t>
  </si>
  <si>
    <t>Kidney</t>
  </si>
  <si>
    <t>Lung</t>
  </si>
  <si>
    <t>ex vivo, pig, from Flock 1987</t>
  </si>
  <si>
    <t>ex vivo, human, from Keijzer 1989</t>
  </si>
  <si>
    <t>ex vivo, human, from Yoon 1988</t>
  </si>
  <si>
    <t>ex vivo, human, calculated from u_a = A_km/2, and S_km = 11.0(0.8)from van Gemert 1985</t>
  </si>
  <si>
    <t>ex vivo, human, calculated from u_a = A_km/2, and S_km = 6.3(1.4) from van Gemert 1985</t>
  </si>
  <si>
    <t>ex vivo, human, calculated from u_a = A_km/2, and S_km = 2.8(2.0) from van Gemert 1985</t>
  </si>
  <si>
    <t>ex vivo, human, calculated from u_a = A_km/2, and S_km = 16, from Oraevsky 1988</t>
  </si>
  <si>
    <t>ex vivo, human, calculated from u_a = A_km/2, and S_km = 21.7, from Oraevsky 1988</t>
  </si>
  <si>
    <t>ex vivo, human, from Yoon 1987</t>
  </si>
  <si>
    <t>ex vivo, human, intima, from Keijzer 1989</t>
  </si>
  <si>
    <t>ex vivo, human, intima, from Keijzer 1990</t>
  </si>
  <si>
    <t>ex vivo, human, intima, from Keijzer 1991</t>
  </si>
  <si>
    <t>ex vivo, human, intima, from Keijzer 1992</t>
  </si>
  <si>
    <t>ex vivo, human, media from Keijzer 1993</t>
  </si>
  <si>
    <t>ex vivo, human, media from Keijzer 1994</t>
  </si>
  <si>
    <t>ex vivo, human, media from Keijzer 1995</t>
  </si>
  <si>
    <t>ex vivo, human, media from Keijzer 1996</t>
  </si>
  <si>
    <t>ex vivo, human, adventitia from Keijzer 1997</t>
  </si>
  <si>
    <t>ex vivo, human, adventitia from Keijzer 1998</t>
  </si>
  <si>
    <t>ex vivo, human, adventitia from Keijzer 1999</t>
  </si>
  <si>
    <t>ex vivo, human, adventitia from Keijzer 2000</t>
  </si>
  <si>
    <t>ex vivo, human, from MacLeod 1988</t>
  </si>
  <si>
    <t>ex vivo, dog, from Star 1987</t>
  </si>
  <si>
    <t>ex vivo, dog, from Splinter 1989</t>
  </si>
  <si>
    <t>ex vivo, dog, from Cheong 1987</t>
  </si>
  <si>
    <t>ex vivo, human, from Cheong 1987</t>
  </si>
  <si>
    <t>ex vivo, human, from Splinter 1989</t>
  </si>
  <si>
    <t>ex vivo, human, whole, HbO2, Hct = 0.41, from Pedersen 1976</t>
  </si>
  <si>
    <t>ex vivo, human, whole, HbO2, Hct = 0.41, from Reynolds 1976</t>
  </si>
  <si>
    <t>ex vivo, human, whole, HbO2,from Flock 1987</t>
  </si>
  <si>
    <t>ex vivo, dog, from Steinke 1988</t>
  </si>
  <si>
    <t>ex vivo, pig, skull, Firbank 1993</t>
  </si>
  <si>
    <t>ex vivo, dog, white matter, from Splinter 1989</t>
  </si>
  <si>
    <t>ex vivo, dog, grey matter, from Splinter 1989</t>
  </si>
  <si>
    <t>ex vivo, cow, calf, from Karagiannes 1989</t>
  </si>
  <si>
    <t>ex vivo, pig, from Wilson 1986</t>
  </si>
  <si>
    <t>ex vivo, pig, from Preuss 1982</t>
  </si>
  <si>
    <t>ex vivo, human, specified as 0.3-1.0 and 30-40 respectively, from Svaasand 1983</t>
  </si>
  <si>
    <t>ex vivo, human, white matter, from Splinter 1989</t>
  </si>
  <si>
    <t>ex vivo, human, grey matter, from Splinter 1989</t>
  </si>
  <si>
    <t>ex vivo, human, endocardium, from Splinter 1989</t>
  </si>
  <si>
    <t>ex vivo, human, epicardium, from Splinter 1989</t>
  </si>
  <si>
    <t>ex vivo, cow, from Karagiannes 1989</t>
  </si>
  <si>
    <t>ex vivo, human, from Andreola 1988</t>
  </si>
  <si>
    <t>ex vivo, human, from Marchesini 1989</t>
  </si>
  <si>
    <t>ex vivo, mouse, albino, from Parsa 1989</t>
  </si>
  <si>
    <t>ex vivo, rabbit, from MacLeod 1988</t>
  </si>
  <si>
    <t>ex vivo, chicken, from Flock 1987</t>
  </si>
  <si>
    <t>ex vivo, pig, from Wilksch 1984</t>
  </si>
  <si>
    <t>ex vivo, pig, from MacLeod 1988</t>
  </si>
  <si>
    <t>ex vivo, cow, from Marijnissen 1987</t>
  </si>
  <si>
    <t>ex vivo, cow, from Wilson 1986</t>
  </si>
  <si>
    <t>ex vivo, cow, from Flock 1987</t>
  </si>
  <si>
    <t>ex vivo, cow, from McKenzie 1988</t>
  </si>
  <si>
    <t>ex vivo, chicken, from Wilson 1986</t>
  </si>
  <si>
    <t>ex vivo, mouse, dermis, albino, mean of 21 measurements, see appendix A for individual results</t>
  </si>
  <si>
    <t>ex vivo, human, dermis, calculated from u_a = A_km/2, and S_km = 60, from Anderson 1981</t>
  </si>
  <si>
    <t>ex vivo, human, dermis, calculated from u_a = A_km/2, and S_km = 138, from van Genert 1986</t>
  </si>
  <si>
    <t>ex vivo, human, dermis, calculated from u_a = A_km/2, and S_km = 90.8, from van Genert 1986</t>
  </si>
  <si>
    <t>ex vivo, human, dermis, calculated from u_a = A_km/2, and S_km = 78, from van Genert 1986</t>
  </si>
  <si>
    <t>ex vivo, human, dermis, calculated from u_a = A_km/2, and S_km = 69, from van Genert 1986</t>
  </si>
  <si>
    <t>ex vivo, human, dermis, calculated from u_a = A_km/2, and S_km = 55.3, from van Genert 1986</t>
  </si>
  <si>
    <t>ex vivo, human, dermis, calculated from u_a = A_km/2, and S_km = 35, from van Genert 1986</t>
  </si>
  <si>
    <t>ex vivo, human, dermis, calculated from u_a = A_km/2, and S_km = 40, from Wan 1981</t>
  </si>
  <si>
    <t>ex vivo, human, epidermis, calculated from u_a = A_km/2, and S_km = 44, from van Genert 1986</t>
  </si>
  <si>
    <t>ex vivo, human, epidermis, calculated from u_a = A_km/2, and S_km = 36.7, from van Genert 1986</t>
  </si>
  <si>
    <t>ex vivo, human, epidermis, calculated from u_a = A_km/2, and S_km = 33.3, from van Genert 1986</t>
  </si>
  <si>
    <t>ex vivo, human, epidermis, calculated from u_a = A_km/2, and S_km = 30, from van Genert 1986</t>
  </si>
  <si>
    <t>ex vivo, human, epidermis, calculated from u_a = A_km/2, and S_km = 24, from van Genert 1986</t>
  </si>
  <si>
    <t>ex vivo, human, epidermis, calculated from u_a = A_km/2, and S_km = 16, from van Genert 1986</t>
  </si>
  <si>
    <t>ex vivo, human, dermis, from Andreola 1988</t>
  </si>
  <si>
    <t>ex vivo, human, dermis, caucasian, from Jacques 1987</t>
  </si>
  <si>
    <t>ex vivo, human, dermis, from Marchesini 1989</t>
  </si>
  <si>
    <t>ex vivo, human, stratum corneum, from Watanabe 1988</t>
  </si>
  <si>
    <t>Kienle</t>
  </si>
  <si>
    <t>ex vivo, cow</t>
  </si>
  <si>
    <t>Alexandrakis</t>
  </si>
  <si>
    <t>mouse estimate, calculated from parameters a = 35600/mm, b = 1.47, S_B = 0.049, x = 0.8, S_W = 0.15</t>
  </si>
  <si>
    <t>mouse estimate, calculated from parameters a = 38/mm, b = 0.53, S_B = 0.0033, x = 0.7, S_W = 0.5</t>
  </si>
  <si>
    <t>mouse estimate, calculated from parameters a = 3670/mm, b = 1.24, S_B = 0.0093, x = 0.8, S_W = 0.5</t>
  </si>
  <si>
    <t>mouse estimate, calculated from parameters a = 10600/mm, b = 1.43, S_B = 0.05, x = 0.75, S_W = 0.5</t>
  </si>
  <si>
    <t>mouse estimate, calculated from parameters a = 41700/mm, b = 1.51, S_B = 0.056, x = 0.75, S_W = 0.8</t>
  </si>
  <si>
    <t>mouse estimate, calculated from parameters a = 629/mm, b =1.05, S_B = 0.30, x = 0.75, S_W = 0.7</t>
  </si>
  <si>
    <t>mouse estimate, calculated from parameters a = 4e7/mm, b =2.82, S_B = 0.07, x = 0.8, S_W = 0.5</t>
  </si>
  <si>
    <t>mouse estimate, calculated from parameters a = 68.4/mm, b =0.53, S_B = 0.15, x = 0.85, S_W = 0.85</t>
  </si>
  <si>
    <t>mouse estimate, calculated from parameters a = 2850/mm, b =1.1, S_B = 0.06, x = 0.75, S_W = 0.5</t>
  </si>
  <si>
    <t>mouse estimate, calculated from parameters a = 792/mm, b =0.97, S_B = 0.01, x = 0.7, S_W = 0.8</t>
  </si>
  <si>
    <t>mouse estimate, calculated from parameters a = 133/mm, b =0.66, S_B = 1.0, x = 0.75, S_W = 0</t>
  </si>
  <si>
    <t>Wang</t>
  </si>
  <si>
    <t>mouse estimate, for range 650-700 nm</t>
  </si>
  <si>
    <t>Stomach</t>
  </si>
  <si>
    <t>Sandell</t>
  </si>
  <si>
    <t>in vivo, human, given as 0.27-0.71 and 1.28-3.30 respectively, from Beck 2003</t>
  </si>
  <si>
    <t>in vivo, human, given as 0.28-0.76 and 2.5-6.37 respectively, from Beck 2003</t>
  </si>
  <si>
    <t>in vivo, human, given as 0.09-0.14 and 12.5-15.8 respectively, from Pifferi 2004</t>
  </si>
  <si>
    <t>in vivo, human, given as 0.07-0.09 and 11.9-14.1 respectively, from Pifferi 2004</t>
  </si>
  <si>
    <t>in vivo, human, given as 0.01-3.51 and 18.75-55.83 respectively, from Beck 2003</t>
  </si>
  <si>
    <t>in vivo, human, given as 0.02-3.84 and 0.1-46.3 respectively, from Beck 2003</t>
  </si>
  <si>
    <t>in vivo, human, given as 0.02-0.5 and 3.72-21.97 respectively, from Beck 2003</t>
  </si>
  <si>
    <t>in vivo, human, given as 0.11-0.17 and 4-10.5 respectively, from Ijichi 2005</t>
  </si>
  <si>
    <t>in vivo, human, given as 0.078-0.089 and 8.42-9.16 respectively, from Zhao 2005</t>
  </si>
  <si>
    <t>in vivo, human, small, given as 0.19-0.21 and 8.95-10.05 respectively, from Wang 2005</t>
  </si>
  <si>
    <t>in vivo, human, large, given as 0.12-0.18 and 10.11-10.42 respectively, from Wang 2005</t>
  </si>
  <si>
    <t>in vivo, human, given as 0.03-1.55 and 17.56-75.06 respectively, from Dimofte 2009</t>
  </si>
  <si>
    <t>in vivo, human, given as 0.12-0.18 and 10.11-10.42 respectively, from Dimofte 2010</t>
  </si>
  <si>
    <t>in vivo, human, given as 1.15-1.56 and 21.6-30.4 respectively, from Wang 2005</t>
  </si>
  <si>
    <t>in vivo, human, given as 0.16-1.36 and 1.07-83.81 respectively, from Dimofte 2009</t>
  </si>
  <si>
    <t>in vivo, human, given as 0.49-0.88 and 21.14-22.52 respectively, from Dimofte 2010</t>
  </si>
  <si>
    <t>in vivo, human, given as 0.05-1.11 and 2.26-20.95 respectively, from Larsson 2003)</t>
  </si>
  <si>
    <t>in vivo, human, given as 0.51-0.64 and 2.24-5.77 respectively, from Rajaram 2009</t>
  </si>
  <si>
    <t>in vivo, human, given as 0.16-0.23 and 6.8-9.84 respectively, from Rajaram 2009</t>
  </si>
  <si>
    <t>Tumorous mouse tissue</t>
  </si>
  <si>
    <t>in vivo human</t>
  </si>
  <si>
    <t>Bashkatov</t>
  </si>
  <si>
    <t>ex vivo, human, caucasian, IS, IAD, from Bashkatov 2005</t>
  </si>
  <si>
    <t>ex vivo, human, caucasian, IS, IAD, from Chan 1996</t>
  </si>
  <si>
    <t>ex vivo, rabbit, epidermis+dermis, DIS, IAD, from Beek 1997</t>
  </si>
  <si>
    <t>ex vivo, piglet, epidermis+dermis, DIS, IAD, from Beek 1997</t>
  </si>
  <si>
    <t>ex vivo, piglet, dermis, DIS, IAD, from Beek 1997</t>
  </si>
  <si>
    <t>More Bashkatov, human skin, in Section D, truncated because bulk of values are for human skin, or not in relevant wavelengths</t>
  </si>
  <si>
    <t xml:space="preserve">ex vivo, pig, IS, IMC, from </t>
  </si>
  <si>
    <t>ex vivo, human, subcutaneous</t>
  </si>
  <si>
    <t>1/cm,</t>
  </si>
  <si>
    <t>ex vivo, rat, subcutaneous</t>
  </si>
  <si>
    <t>ex vivo, rabbit</t>
  </si>
  <si>
    <t>ex vivo, human</t>
  </si>
  <si>
    <t>ex vivo, piglet</t>
  </si>
  <si>
    <t>ex vivo, rat, muscle</t>
  </si>
  <si>
    <t>ex vivo, rat muscle</t>
  </si>
  <si>
    <t>ex vivo, beef muscle</t>
  </si>
  <si>
    <t>human, frontal cortex, bevilacqua 2003</t>
  </si>
  <si>
    <t>human, temporal cortex, bevilacqua 2003</t>
  </si>
  <si>
    <t>human, cerebellar white, Bevilacqua 2000</t>
  </si>
  <si>
    <t>human, cerebellar white, Bevilacqua 2001</t>
  </si>
  <si>
    <t>human, cerebellar white, Bevilacqua 2002</t>
  </si>
  <si>
    <t>human, cerebellar white, Bevilacqua 2003</t>
  </si>
  <si>
    <t>human, brain, Yi 2012</t>
  </si>
  <si>
    <t>human, bevilacqua 2000</t>
  </si>
  <si>
    <t>human, Parsa 1989</t>
  </si>
  <si>
    <t>human, subcutaneous, Simpson 1998</t>
  </si>
  <si>
    <t>human, breast, Peters 1990</t>
  </si>
  <si>
    <t>human, subcutaneous, human, subcutaneous, Salomatina 2006</t>
  </si>
  <si>
    <t>Welch</t>
  </si>
  <si>
    <t>human, stomach, Thueler 2003</t>
  </si>
  <si>
    <t>human, white, Bevilacqua 1999</t>
  </si>
  <si>
    <t>mouse</t>
  </si>
  <si>
    <t>Alexandrakis calculations done using:</t>
  </si>
  <si>
    <t>lambda(nm)</t>
  </si>
  <si>
    <t>HbO2 molar extinction(1/cm/M)</t>
  </si>
  <si>
    <t>Hb molar extinction(1/cm/M)</t>
  </si>
  <si>
    <t>http://omlc.org/spectra/hemoglobin/summary.html</t>
  </si>
  <si>
    <t>Prahl S A 2001</t>
  </si>
  <si>
    <t>http://omlc.ogi.edu/spectra/index.html (Oregon Medical Laser Clinic)</t>
  </si>
  <si>
    <t>HbO2 absorption (1/cm)</t>
  </si>
  <si>
    <t>Hb absorption (1/cm)</t>
  </si>
  <si>
    <t>Summary</t>
  </si>
  <si>
    <t>Bowel</t>
  </si>
  <si>
    <t>Absorbance</t>
  </si>
  <si>
    <t>(1/cm)</t>
  </si>
  <si>
    <t>human</t>
  </si>
  <si>
    <t>rat</t>
  </si>
  <si>
    <t>cow</t>
  </si>
  <si>
    <t>Reduced Scattering</t>
  </si>
  <si>
    <t>pig</t>
  </si>
  <si>
    <t>400</t>
  </si>
  <si>
    <t>500</t>
  </si>
  <si>
    <t>590</t>
  </si>
  <si>
    <t>600</t>
  </si>
  <si>
    <t>610</t>
  </si>
  <si>
    <t>630</t>
  </si>
  <si>
    <t>633</t>
  </si>
  <si>
    <t>650</t>
  </si>
  <si>
    <t>700</t>
  </si>
  <si>
    <t>751</t>
  </si>
  <si>
    <t>800</t>
  </si>
  <si>
    <t>Author</t>
  </si>
  <si>
    <t>Type</t>
  </si>
  <si>
    <t>750</t>
  </si>
  <si>
    <t>760</t>
  </si>
  <si>
    <t>850</t>
  </si>
  <si>
    <t>900</t>
  </si>
  <si>
    <t>950</t>
  </si>
  <si>
    <t>420</t>
  </si>
  <si>
    <t>532</t>
  </si>
  <si>
    <t>674</t>
  </si>
  <si>
    <t>780</t>
  </si>
  <si>
    <t>811</t>
  </si>
  <si>
    <t>849</t>
  </si>
  <si>
    <t>956</t>
  </si>
  <si>
    <t>dog</t>
  </si>
  <si>
    <t>Absorption</t>
  </si>
  <si>
    <t>661</t>
  </si>
  <si>
    <t>675</t>
  </si>
  <si>
    <t>488</t>
  </si>
  <si>
    <t>515</t>
  </si>
  <si>
    <t>635</t>
  </si>
  <si>
    <t>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</si>
</sst>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11"/>
      <color rgb="FF404040"/>
      <name val="Calibri"/>
      <family val="2"/>
      <scheme val="minor"/>
    </font>
    <font>
      <sz val="11"/>
      <color rgb="FF404040"/>
      <name val="Calibri"/>
      <family val="2"/>
      <scheme val="minor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" applyNumberFormat="0" applyAlignment="0" applyProtection="0"/>
    <xf numFmtId="0" fontId="8" fillId="7" borderId="0" applyNumberFormat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16" fontId="0" fillId="0" borderId="0" xfId="0" applyNumberFormat="1"/>
    <xf numFmtId="0" fontId="7" fillId="0" borderId="0" xfId="1"/>
    <xf numFmtId="0" fontId="0" fillId="0" borderId="0" xfId="0" applyBorder="1"/>
    <xf numFmtId="0" fontId="12" fillId="6" borderId="1" xfId="5"/>
    <xf numFmtId="0" fontId="10" fillId="4" borderId="0" xfId="3"/>
    <xf numFmtId="0" fontId="10" fillId="4" borderId="0" xfId="3" applyBorder="1"/>
    <xf numFmtId="0" fontId="10" fillId="4" borderId="2" xfId="3" applyBorder="1"/>
    <xf numFmtId="0" fontId="9" fillId="3" borderId="0" xfId="2"/>
    <xf numFmtId="0" fontId="9" fillId="3" borderId="0" xfId="2" applyBorder="1"/>
    <xf numFmtId="0" fontId="9" fillId="3" borderId="2" xfId="2" applyBorder="1"/>
    <xf numFmtId="0" fontId="12" fillId="6" borderId="3" xfId="5" applyBorder="1"/>
    <xf numFmtId="0" fontId="12" fillId="6" borderId="4" xfId="5" applyBorder="1"/>
    <xf numFmtId="0" fontId="12" fillId="6" borderId="2" xfId="5" applyBorder="1"/>
    <xf numFmtId="0" fontId="12" fillId="6" borderId="5" xfId="5" applyBorder="1"/>
    <xf numFmtId="0" fontId="12" fillId="6" borderId="1" xfId="5" applyBorder="1"/>
    <xf numFmtId="0" fontId="12" fillId="6" borderId="7" xfId="5" applyBorder="1"/>
    <xf numFmtId="0" fontId="11" fillId="5" borderId="1" xfId="4" applyBorder="1"/>
    <xf numFmtId="0" fontId="11" fillId="5" borderId="4" xfId="4" applyBorder="1"/>
    <xf numFmtId="0" fontId="11" fillId="5" borderId="2" xfId="4" applyBorder="1"/>
    <xf numFmtId="0" fontId="11" fillId="5" borderId="0" xfId="4"/>
    <xf numFmtId="0" fontId="11" fillId="5" borderId="5" xfId="4" applyBorder="1"/>
    <xf numFmtId="0" fontId="11" fillId="5" borderId="0" xfId="4" applyBorder="1"/>
    <xf numFmtId="0" fontId="9" fillId="3" borderId="1" xfId="2" applyBorder="1"/>
    <xf numFmtId="0" fontId="9" fillId="3" borderId="4" xfId="2" applyBorder="1"/>
    <xf numFmtId="0" fontId="9" fillId="3" borderId="5" xfId="2" applyBorder="1"/>
    <xf numFmtId="0" fontId="9" fillId="3" borderId="8" xfId="2" applyBorder="1"/>
    <xf numFmtId="0" fontId="9" fillId="3" borderId="2" xfId="2" applyNumberFormat="1" applyBorder="1"/>
    <xf numFmtId="0" fontId="8" fillId="7" borderId="0" xfId="6"/>
    <xf numFmtId="0" fontId="8" fillId="7" borderId="2" xfId="6" applyBorder="1"/>
    <xf numFmtId="0" fontId="0" fillId="7" borderId="0" xfId="6" applyFont="1"/>
    <xf numFmtId="0" fontId="12" fillId="6" borderId="9" xfId="5" applyBorder="1"/>
    <xf numFmtId="0" fontId="12" fillId="6" borderId="2" xfId="5" applyNumberFormat="1" applyBorder="1"/>
    <xf numFmtId="0" fontId="11" fillId="5" borderId="6" xfId="4" applyBorder="1"/>
    <xf numFmtId="0" fontId="11" fillId="5" borderId="8" xfId="4" applyBorder="1"/>
  </cellXfs>
  <cellStyles count="7">
    <cellStyle name="20% - Accent1" xfId="6" builtinId="30"/>
    <cellStyle name="Bad" xfId="3" builtinId="27"/>
    <cellStyle name="Good" xfId="2" builtinId="26"/>
    <cellStyle name="Hyperlink" xfId="1" builtinId="8"/>
    <cellStyle name="Input" xfId="5" builtinId="20"/>
    <cellStyle name="Neutral" xfId="4" builtinId="28"/>
    <cellStyle name="Normal" xfId="0" builtinId="0"/>
  </cellStyles>
  <dxfs count="14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rgb="FF7F7F7F"/>
        </top>
        <bottom style="thin">
          <color rgb="FF7F7F7F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right style="thin">
          <color rgb="FF7F7F7F"/>
        </right>
      </border>
    </dxf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9</xdr:col>
      <xdr:colOff>123824</xdr:colOff>
      <xdr:row>34</xdr:row>
      <xdr:rowOff>144646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"/>
          <a:ext cx="5610224" cy="6364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570819</xdr:colOff>
      <xdr:row>41</xdr:row>
      <xdr:rowOff>132381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447619" cy="7752381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</xdr:row>
      <xdr:rowOff>0</xdr:rowOff>
    </xdr:from>
    <xdr:ext cx="6028571" cy="255238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90500"/>
          <a:ext cx="6028571" cy="25523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160914</xdr:colOff>
      <xdr:row>46</xdr:row>
      <xdr:rowOff>113190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85714" cy="887619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27</xdr:col>
      <xdr:colOff>494248</xdr:colOff>
      <xdr:row>48</xdr:row>
      <xdr:rowOff>84571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0"/>
          <a:ext cx="8419048" cy="92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19050</xdr:rowOff>
    </xdr:from>
    <xdr:to>
      <xdr:col>11</xdr:col>
      <xdr:colOff>132495</xdr:colOff>
      <xdr:row>73</xdr:row>
      <xdr:rowOff>170336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62550"/>
          <a:ext cx="6838095" cy="8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11</xdr:col>
      <xdr:colOff>151544</xdr:colOff>
      <xdr:row>27</xdr:row>
      <xdr:rowOff>46976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0"/>
          <a:ext cx="6847619" cy="5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11</xdr:col>
      <xdr:colOff>275352</xdr:colOff>
      <xdr:row>122</xdr:row>
      <xdr:rowOff>65524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097000"/>
          <a:ext cx="6980952" cy="9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11</xdr:col>
      <xdr:colOff>75352</xdr:colOff>
      <xdr:row>170</xdr:row>
      <xdr:rowOff>17928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431500"/>
          <a:ext cx="6780952" cy="89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11</xdr:col>
      <xdr:colOff>122971</xdr:colOff>
      <xdr:row>215</xdr:row>
      <xdr:rowOff>56095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2575500"/>
          <a:ext cx="6828571" cy="8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11</xdr:col>
      <xdr:colOff>94400</xdr:colOff>
      <xdr:row>247</xdr:row>
      <xdr:rowOff>8786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1148000"/>
          <a:ext cx="6800000" cy="591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A2:N23" totalsRowShown="0" headerRowCellStyle="Bad" dataCellStyle="Bad">
  <autoFilter ref="A2:N23"/>
  <tableColumns count="14">
    <tableColumn id="1" name="Year" dataCellStyle="Bad"/>
    <tableColumn id="2" name="Author" dataCellStyle="Bad"/>
    <tableColumn id="3" name="400" dataDxfId="129" dataCellStyle="Bad"/>
    <tableColumn id="4" name="500" dataDxfId="128" dataCellStyle="Bad"/>
    <tableColumn id="5" name="590" dataDxfId="127" dataCellStyle="Bad"/>
    <tableColumn id="6" name="600" dataDxfId="126" dataCellStyle="Bad"/>
    <tableColumn id="7" name="610" dataDxfId="125" dataCellStyle="Bad"/>
    <tableColumn id="8" name="630" dataDxfId="124" dataCellStyle="Bad"/>
    <tableColumn id="9" name="633" dataDxfId="123" dataCellStyle="Bad"/>
    <tableColumn id="10" name="650" dataDxfId="122" dataCellStyle="Bad"/>
    <tableColumn id="11" name="700" dataDxfId="121" dataCellStyle="Bad"/>
    <tableColumn id="12" name="751" dataDxfId="120" dataCellStyle="Bad"/>
    <tableColumn id="13" name="800" dataDxfId="119" dataCellStyle="Bad"/>
    <tableColumn id="14" name="Type" dataCellStyle="Bad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7" name="Table27" displayName="Table27" ref="A184:I192" totalsRowShown="0" headerRowCellStyle="20% - Accent1" dataCellStyle="20% - Accent1">
  <autoFilter ref="A184:I192"/>
  <tableColumns count="9">
    <tableColumn id="1" name="Year" dataCellStyle="20% - Accent1"/>
    <tableColumn id="2" name="Author" dataDxfId="66" dataCellStyle="20% - Accent1"/>
    <tableColumn id="3" name="590" dataDxfId="65" dataCellStyle="20% - Accent1"/>
    <tableColumn id="4" name="610" dataDxfId="64" dataCellStyle="20% - Accent1"/>
    <tableColumn id="5" name="630" dataDxfId="63" dataCellStyle="20% - Accent1"/>
    <tableColumn id="6" name="650" dataDxfId="62" dataCellStyle="20% - Accent1"/>
    <tableColumn id="7" name="661" dataDxfId="61" dataCellStyle="20% - Accent1"/>
    <tableColumn id="8" name="675" dataDxfId="60" dataCellStyle="20% - Accent1"/>
    <tableColumn id="9" name="Type" dataCellStyle="20% - Accent1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id="28" name="Table28" displayName="Table28" ref="A195:G200" totalsRowShown="0" headerRowCellStyle="Bad" dataCellStyle="Bad">
  <autoFilter ref="A195:G200"/>
  <tableColumns count="7">
    <tableColumn id="1" name="Year" dataCellStyle="Bad"/>
    <tableColumn id="2" name="Author" dataCellStyle="Bad"/>
    <tableColumn id="3" name="590" dataDxfId="59" dataCellStyle="Bad"/>
    <tableColumn id="4" name="610" dataDxfId="58" dataCellStyle="Bad"/>
    <tableColumn id="5" name="630" dataDxfId="57" dataCellStyle="Bad"/>
    <tableColumn id="6" name="650" dataDxfId="56" dataCellStyle="Bad"/>
    <tableColumn id="7" name="Type" dataDxfId="55" dataCellStyle="Bad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id="29" name="Table2830" displayName="Table2830" ref="A203:G208" totalsRowShown="0" headerRowCellStyle="Bad" dataCellStyle="Bad">
  <autoFilter ref="A203:G208"/>
  <tableColumns count="7">
    <tableColumn id="1" name="Year" dataCellStyle="Bad"/>
    <tableColumn id="2" name="Author" dataCellStyle="Bad"/>
    <tableColumn id="3" name="590" dataDxfId="54" dataCellStyle="Bad"/>
    <tableColumn id="4" name="610" dataDxfId="53" dataCellStyle="Bad"/>
    <tableColumn id="5" name="630" dataDxfId="52" dataCellStyle="Bad"/>
    <tableColumn id="6" name="650" dataDxfId="51" dataCellStyle="Bad"/>
    <tableColumn id="7" name="Type" dataDxfId="50" dataCellStyle="Bad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id="30" name="Table5831" displayName="Table5831" ref="A211:N228" totalsRowShown="0" headerRowCellStyle="Input" dataCellStyle="Input">
  <autoFilter ref="A211:N228"/>
  <tableColumns count="14">
    <tableColumn id="1" name="Year" dataCellStyle="Input"/>
    <tableColumn id="2" name="Author" dataCellStyle="Input"/>
    <tableColumn id="3" name="488" dataDxfId="49" dataCellStyle="Input"/>
    <tableColumn id="4" name="515" dataDxfId="48" dataCellStyle="Input"/>
    <tableColumn id="5" name="590" dataDxfId="47" dataCellStyle="Input"/>
    <tableColumn id="6" name="610" dataDxfId="46" dataCellStyle="Input"/>
    <tableColumn id="7" name="630" dataDxfId="45" dataCellStyle="Input"/>
    <tableColumn id="8" name="633" dataDxfId="44" dataCellStyle="Input"/>
    <tableColumn id="9" name="635" dataDxfId="43" dataCellStyle="Input"/>
    <tableColumn id="10" name="650" dataDxfId="42" dataCellStyle="Input"/>
    <tableColumn id="11" name="675" dataDxfId="41" dataCellStyle="Input"/>
    <tableColumn id="12" name="751" dataDxfId="40" dataCellStyle="Input"/>
    <tableColumn id="13" name="800" dataDxfId="39" dataCellStyle="Input"/>
    <tableColumn id="15" name="Type" dataCellStyle="Input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32" name="Table583133" displayName="Table583133" ref="A231:J246" totalsRowShown="0" headerRowCellStyle="Input" dataCellStyle="Input">
  <autoFilter ref="A231:J246"/>
  <tableColumns count="10">
    <tableColumn id="1" name="Year" dataCellStyle="Input"/>
    <tableColumn id="2" name="Author" dataCellStyle="Input"/>
    <tableColumn id="3" name="590" dataDxfId="38" dataCellStyle="Input"/>
    <tableColumn id="4" name="610" dataDxfId="37" dataCellStyle="Input"/>
    <tableColumn id="5" name="630" dataDxfId="36" dataCellStyle="Input"/>
    <tableColumn id="6" name="633" dataDxfId="35" dataCellStyle="Input"/>
    <tableColumn id="7" name="650" dataDxfId="34" dataCellStyle="Input"/>
    <tableColumn id="8" name="675" dataDxfId="33" dataCellStyle="Input"/>
    <tableColumn id="9" name="751" dataDxfId="32" dataCellStyle="Input"/>
    <tableColumn id="10" name="Type" dataDxfId="31" dataCellStyle="Input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5" name="Table58313336" displayName="Table58313336" ref="A249:K260" totalsRowShown="0" headerRowCellStyle="Neutral" dataCellStyle="Neutral">
  <autoFilter ref="A249:K260"/>
  <tableColumns count="11">
    <tableColumn id="1" name="Year" dataCellStyle="Neutral"/>
    <tableColumn id="2" name="Author" dataCellStyle="Neutral"/>
    <tableColumn id="3" name="515" dataDxfId="30" dataCellStyle="Neutral"/>
    <tableColumn id="4" name="590" dataDxfId="29" dataCellStyle="Neutral"/>
    <tableColumn id="5" name="610" dataDxfId="28" dataCellStyle="Neutral"/>
    <tableColumn id="6" name="630" dataDxfId="27" dataCellStyle="Neutral"/>
    <tableColumn id="7" name="635" dataDxfId="26" dataCellStyle="Neutral"/>
    <tableColumn id="8" name="650" dataDxfId="25" dataCellStyle="Neutral"/>
    <tableColumn id="9" name="661" dataDxfId="24" dataCellStyle="Neutral"/>
    <tableColumn id="10" name="675" dataDxfId="23" dataCellStyle="Neutral"/>
    <tableColumn id="16" name="Type" dataDxfId="22" dataCellStyle="Neutral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36" name="Table5831333637" displayName="Table5831333637" ref="A263:I271" totalsRowShown="0" headerRowCellStyle="Neutral" dataCellStyle="Neutral">
  <autoFilter ref="A263:I271"/>
  <tableColumns count="9">
    <tableColumn id="1" name="Year" dataCellStyle="Neutral"/>
    <tableColumn id="2" name="Author" dataCellStyle="Neutral"/>
    <tableColumn id="3" name="590" dataDxfId="21" dataCellStyle="Neutral"/>
    <tableColumn id="4" name="610" dataDxfId="20" dataCellStyle="Neutral"/>
    <tableColumn id="5" name="630" dataDxfId="19" dataCellStyle="Neutral"/>
    <tableColumn id="6" name="650" dataDxfId="18" dataCellStyle="Neutral"/>
    <tableColumn id="7" name="661" dataDxfId="17" dataCellStyle="Neutral"/>
    <tableColumn id="8" name="675" dataDxfId="16" dataCellStyle="Neutral"/>
    <tableColumn id="9" name="Type" dataCellStyle="Neutral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7" name="Table5831333638" displayName="Table5831333638" ref="A274:J283" totalsRowShown="0" headerRowCellStyle="Good" dataCellStyle="Good">
  <autoFilter ref="A274:J283"/>
  <tableColumns count="10">
    <tableColumn id="1" name="Year" dataCellStyle="Good"/>
    <tableColumn id="2" name="Author" dataCellStyle="Good"/>
    <tableColumn id="3" name="542" dataDxfId="8" dataCellStyle="Good"/>
    <tableColumn id="4" name="590" dataDxfId="4" dataCellStyle="Good"/>
    <tableColumn id="5" name="600" dataDxfId="7" dataCellStyle="Good"/>
    <tableColumn id="6" name="610" dataDxfId="3" dataCellStyle="Good"/>
    <tableColumn id="7" name="630" dataDxfId="2" dataCellStyle="Good"/>
    <tableColumn id="8" name="650" dataDxfId="1" dataCellStyle="Good"/>
    <tableColumn id="9" name="675" dataDxfId="6" dataCellStyle="Good"/>
    <tableColumn id="10" name="Type" dataDxfId="5" dataCellStyle="Good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8" name="Table583133363839" displayName="Table583133363839" ref="A286:J295" totalsRowShown="0" headerRowCellStyle="Good" dataCellStyle="Good">
  <autoFilter ref="A286:J295"/>
  <tableColumns count="10">
    <tableColumn id="1" name="Year" dataCellStyle="Good"/>
    <tableColumn id="2" name="Author" dataCellStyle="Good"/>
    <tableColumn id="3" name="542" dataDxfId="15" dataCellStyle="Good"/>
    <tableColumn id="4" name="590" dataDxfId="14" dataCellStyle="Good"/>
    <tableColumn id="5" name="600" dataDxfId="13" dataCellStyle="Good"/>
    <tableColumn id="6" name="610" dataDxfId="12" dataCellStyle="Good"/>
    <tableColumn id="7" name="630" dataDxfId="11" dataCellStyle="Good"/>
    <tableColumn id="8" name="650" dataDxfId="10" dataCellStyle="Good"/>
    <tableColumn id="9" name="675" dataDxfId="9" dataCellStyle="Good"/>
    <tableColumn id="10" name="Type" dataDxfId="0" dataCellStyle="Goo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26:N63" totalsRowShown="0" headerRowCellStyle="Bad" dataCellStyle="Bad">
  <autoFilter ref="A26:N63"/>
  <tableColumns count="14">
    <tableColumn id="1" name="Year" dataCellStyle="Bad"/>
    <tableColumn id="2" name="Author" dataCellStyle="Bad"/>
    <tableColumn id="3" name="400" dataDxfId="140" dataCellStyle="Bad"/>
    <tableColumn id="4" name="500" dataDxfId="139" dataCellStyle="Bad"/>
    <tableColumn id="5" name="590" dataDxfId="138" dataCellStyle="Bad"/>
    <tableColumn id="6" name="600" dataDxfId="137" dataCellStyle="Bad"/>
    <tableColumn id="7" name="610" dataDxfId="136" dataCellStyle="Bad"/>
    <tableColumn id="8" name="630" dataDxfId="135" dataCellStyle="Bad"/>
    <tableColumn id="9" name="633" dataDxfId="134" dataCellStyle="Bad"/>
    <tableColumn id="10" name="650" dataDxfId="133" dataCellStyle="Bad"/>
    <tableColumn id="11" name="700" dataDxfId="132" dataCellStyle="Bad"/>
    <tableColumn id="12" name="751" dataDxfId="131" dataCellStyle="Bad"/>
    <tableColumn id="13" name="800" dataDxfId="130" dataCellStyle="Bad"/>
    <tableColumn id="14" name="Type" dataCellStyle="Bad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7" name="Table58" displayName="Table58" ref="A66:N79" totalsRowShown="0" headerRowCellStyle="Input" dataCellStyle="Input">
  <autoFilter ref="A66:N79"/>
  <tableColumns count="14">
    <tableColumn id="1" name="Year" dataCellStyle="Input"/>
    <tableColumn id="2" name="Author" dataCellStyle="Input"/>
    <tableColumn id="3" name="590" dataDxfId="118" dataCellStyle="Input">
      <calculatedColumnFormula>0.049*(0.8*151.7+0.2*77.13)+0.15*0.001351</calculatedColumnFormula>
    </tableColumn>
    <tableColumn id="4" name="610" dataCellStyle="Input"/>
    <tableColumn id="5" name="630" dataCellStyle="Input"/>
    <tableColumn id="6" name="650" dataCellStyle="Input"/>
    <tableColumn id="7" name="700" dataCellStyle="Input"/>
    <tableColumn id="8" name="750" dataCellStyle="Input"/>
    <tableColumn id="9" name="760" dataCellStyle="Input"/>
    <tableColumn id="10" name="800" dataCellStyle="Input"/>
    <tableColumn id="11" name="850" dataCellStyle="Input"/>
    <tableColumn id="12" name="900" dataCellStyle="Input"/>
    <tableColumn id="13" name="950" dataCellStyle="Input"/>
    <tableColumn id="14" name="Type" dataCellStyle="Input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1" name="Table11" displayName="Table11" ref="A82:N99" totalsRowShown="0" headerRowDxfId="103" tableBorderDxfId="117" headerRowCellStyle="Input" dataCellStyle="Input">
  <autoFilter ref="A82:N99"/>
  <tableColumns count="14">
    <tableColumn id="1" name="Year" dataDxfId="116" dataCellStyle="Input"/>
    <tableColumn id="2" name="Author" dataCellStyle="Input"/>
    <tableColumn id="3" name="590" dataDxfId="115" dataCellStyle="Input"/>
    <tableColumn id="4" name="610" dataDxfId="114" dataCellStyle="Input"/>
    <tableColumn id="5" name="630" dataDxfId="113" dataCellStyle="Input"/>
    <tableColumn id="6" name="650" dataDxfId="112" dataCellStyle="Input"/>
    <tableColumn id="7" name="700" dataDxfId="111" dataCellStyle="Input"/>
    <tableColumn id="8" name="750" dataDxfId="110" dataCellStyle="Input"/>
    <tableColumn id="9" name="760" dataDxfId="109" dataCellStyle="Input"/>
    <tableColumn id="10" name="800" dataDxfId="108" dataCellStyle="Input"/>
    <tableColumn id="11" name="850" dataDxfId="107" dataCellStyle="Input"/>
    <tableColumn id="12" name="900" dataDxfId="106" dataCellStyle="Input"/>
    <tableColumn id="13" name="950" dataDxfId="105" dataCellStyle="Input"/>
    <tableColumn id="14" name="Type" dataDxfId="104" dataCellStyle="Input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12" name="Table5813" displayName="Table5813" ref="A102:G108" totalsRowShown="0" headerRowCellStyle="Neutral" dataCellStyle="Neutral">
  <autoFilter ref="A102:G108"/>
  <tableColumns count="7">
    <tableColumn id="1" name="Year" dataCellStyle="Neutral"/>
    <tableColumn id="2" name="Author" dataCellStyle="Neutral"/>
    <tableColumn id="3" name="590" dataDxfId="102" dataCellStyle="Neutral">
      <calculatedColumnFormula>0.049*(0.8*151.7+0.2*77.13)+0.15*0.001351</calculatedColumnFormula>
    </tableColumn>
    <tableColumn id="4" name="610" dataDxfId="101" dataCellStyle="Neutral"/>
    <tableColumn id="5" name="630" dataDxfId="100" dataCellStyle="Neutral"/>
    <tableColumn id="6" name="650" dataDxfId="99" dataCellStyle="Neutral"/>
    <tableColumn id="7" name="Type" dataCellStyle="Neutral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3" name="Table581314" displayName="Table581314" ref="A111:G117" totalsRowShown="0" headerRowCellStyle="Neutral" dataCellStyle="Neutral">
  <autoFilter ref="A111:G117"/>
  <tableColumns count="7">
    <tableColumn id="1" name="Year" dataCellStyle="Neutral"/>
    <tableColumn id="2" name="Author" dataCellStyle="Neutral"/>
    <tableColumn id="3" name="590" dataDxfId="98" dataCellStyle="Neutral">
      <calculatedColumnFormula>0.049*(0.8*151.7+0.2*77.13)+0.15*0.001351</calculatedColumnFormula>
    </tableColumn>
    <tableColumn id="4" name="610" dataDxfId="97" dataCellStyle="Neutral"/>
    <tableColumn id="5" name="630" dataDxfId="96" dataCellStyle="Neutral"/>
    <tableColumn id="6" name="650" dataDxfId="95" dataCellStyle="Neutral"/>
    <tableColumn id="7" name="Type" dataCellStyle="Neutral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4" name="Table581315" displayName="Table581315" ref="A120:M138" totalsRowShown="0" headerRowCellStyle="Good" dataCellStyle="Good">
  <autoFilter ref="A120:M138"/>
  <tableColumns count="13">
    <tableColumn id="1" name="Year" dataCellStyle="Good"/>
    <tableColumn id="2" name="Author" dataCellStyle="Good"/>
    <tableColumn id="3" name="420" dataDxfId="94" dataCellStyle="Good"/>
    <tableColumn id="4" name="532" dataDxfId="93" dataCellStyle="Good"/>
    <tableColumn id="5" name="630" dataDxfId="92" dataCellStyle="Good"/>
    <tableColumn id="6" name="633" dataDxfId="91" dataCellStyle="Good"/>
    <tableColumn id="7" name="674" dataDxfId="90" dataCellStyle="Good"/>
    <tableColumn id="15" name="760" dataDxfId="89" dataCellStyle="Good"/>
    <tableColumn id="16" name="780" dataDxfId="88" dataCellStyle="Good"/>
    <tableColumn id="17" name="811" dataDxfId="87" dataCellStyle="Good"/>
    <tableColumn id="18" name="849" dataDxfId="86" dataCellStyle="Good"/>
    <tableColumn id="19" name="956" dataDxfId="85" dataCellStyle="Good"/>
    <tableColumn id="20" name="Type" dataDxfId="84" dataCellStyle="Good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1" name="Table58131522" displayName="Table58131522" ref="A141:L170" totalsRowShown="0" headerRowCellStyle="Good" dataCellStyle="Good">
  <autoFilter ref="A141:L170"/>
  <tableColumns count="12">
    <tableColumn id="1" name="Year" dataCellStyle="Good"/>
    <tableColumn id="2" name="Author" dataCellStyle="Good"/>
    <tableColumn id="3" name="420" dataDxfId="82" dataCellStyle="Good"/>
    <tableColumn id="4" name="532" dataDxfId="81" dataCellStyle="Good"/>
    <tableColumn id="5" name="590" dataDxfId="80" dataCellStyle="Good"/>
    <tableColumn id="6" name="610" dataDxfId="79" dataCellStyle="Good"/>
    <tableColumn id="7" name="630" dataDxfId="78" dataCellStyle="Good"/>
    <tableColumn id="15" name="633" dataDxfId="77" dataCellStyle="Good"/>
    <tableColumn id="16" name="650" dataDxfId="76" dataCellStyle="Good"/>
    <tableColumn id="17" name="760" dataDxfId="75" dataCellStyle="Good"/>
    <tableColumn id="18" name="780" dataDxfId="74" dataCellStyle="Good"/>
    <tableColumn id="19" name="Type" dataDxfId="83" dataCellStyle="Good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A173:I181" totalsRowShown="0" headerRowCellStyle="20% - Accent1" dataCellStyle="20% - Accent1">
  <autoFilter ref="A173:I181"/>
  <tableColumns count="9">
    <tableColumn id="1" name="Year" dataCellStyle="20% - Accent1"/>
    <tableColumn id="2" name="Author" dataDxfId="73" dataCellStyle="20% - Accent1"/>
    <tableColumn id="3" name="590" dataDxfId="72" dataCellStyle="20% - Accent1"/>
    <tableColumn id="4" name="610" dataDxfId="71" dataCellStyle="20% - Accent1"/>
    <tableColumn id="5" name="630" dataDxfId="70" dataCellStyle="20% - Accent1"/>
    <tableColumn id="6" name="650" dataDxfId="69" dataCellStyle="20% - Accent1"/>
    <tableColumn id="7" name="661" dataDxfId="68" dataCellStyle="20% - Accent1"/>
    <tableColumn id="8" name="675" dataDxfId="67" dataCellStyle="20% - Accent1"/>
    <tableColumn id="9" name="Type" dataCellStyle="20% - Accent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mlc.org/spectra/hemoglobin/summary.htm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="120" zoomScaleNormal="120" workbookViewId="0">
      <selection activeCell="K18" sqref="K18"/>
    </sheetView>
  </sheetViews>
  <sheetFormatPr defaultRowHeight="15" x14ac:dyDescent="0.25"/>
  <cols>
    <col min="1" max="1" width="7" customWidth="1"/>
  </cols>
  <sheetData>
    <row r="1" spans="1:2" x14ac:dyDescent="0.25">
      <c r="A1" t="s">
        <v>15</v>
      </c>
      <c r="B1" t="s">
        <v>12</v>
      </c>
    </row>
    <row r="2" spans="1:2" x14ac:dyDescent="0.25">
      <c r="A2">
        <v>1</v>
      </c>
      <c r="B2" t="s">
        <v>16</v>
      </c>
    </row>
    <row r="3" spans="1:2" x14ac:dyDescent="0.25">
      <c r="A3">
        <v>2</v>
      </c>
      <c r="B3" t="s">
        <v>13</v>
      </c>
    </row>
    <row r="4" spans="1:2" x14ac:dyDescent="0.25">
      <c r="A4">
        <v>3</v>
      </c>
      <c r="B4" t="s">
        <v>43</v>
      </c>
    </row>
    <row r="5" spans="1:2" x14ac:dyDescent="0.25">
      <c r="A5">
        <v>4</v>
      </c>
      <c r="B5" t="s">
        <v>33</v>
      </c>
    </row>
    <row r="6" spans="1:2" x14ac:dyDescent="0.25">
      <c r="A6">
        <v>5</v>
      </c>
      <c r="B6" t="s">
        <v>44</v>
      </c>
    </row>
    <row r="7" spans="1:2" x14ac:dyDescent="0.25">
      <c r="A7">
        <v>6</v>
      </c>
      <c r="B7" t="s">
        <v>34</v>
      </c>
    </row>
    <row r="8" spans="1:2" x14ac:dyDescent="0.25">
      <c r="A8">
        <v>7</v>
      </c>
      <c r="B8" t="s">
        <v>45</v>
      </c>
    </row>
    <row r="9" spans="1:2" x14ac:dyDescent="0.25">
      <c r="A9">
        <v>8</v>
      </c>
      <c r="B9" t="s">
        <v>46</v>
      </c>
    </row>
    <row r="10" spans="1:2" x14ac:dyDescent="0.25">
      <c r="A10">
        <v>9</v>
      </c>
      <c r="B10" t="s">
        <v>47</v>
      </c>
    </row>
    <row r="11" spans="1:2" x14ac:dyDescent="0.25">
      <c r="A11">
        <v>10</v>
      </c>
      <c r="B11" t="s">
        <v>48</v>
      </c>
    </row>
    <row r="12" spans="1:2" x14ac:dyDescent="0.25">
      <c r="A12">
        <v>11</v>
      </c>
      <c r="B12" t="s">
        <v>35</v>
      </c>
    </row>
    <row r="13" spans="1:2" x14ac:dyDescent="0.25">
      <c r="A13">
        <v>12</v>
      </c>
      <c r="B13" t="s">
        <v>49</v>
      </c>
    </row>
    <row r="14" spans="1:2" x14ac:dyDescent="0.25">
      <c r="A14">
        <v>13</v>
      </c>
      <c r="B14" t="s">
        <v>36</v>
      </c>
    </row>
    <row r="15" spans="1:2" x14ac:dyDescent="0.25">
      <c r="A15">
        <v>14</v>
      </c>
      <c r="B15" t="s">
        <v>14</v>
      </c>
    </row>
    <row r="16" spans="1:2" x14ac:dyDescent="0.25">
      <c r="A16">
        <v>15</v>
      </c>
      <c r="B16" t="s">
        <v>140</v>
      </c>
    </row>
    <row r="17" spans="1:2" x14ac:dyDescent="0.25">
      <c r="A17">
        <v>16</v>
      </c>
      <c r="B17" t="s">
        <v>37</v>
      </c>
    </row>
    <row r="18" spans="1:2" x14ac:dyDescent="0.25">
      <c r="A18" s="7">
        <v>17</v>
      </c>
      <c r="B18" s="7" t="s">
        <v>205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1"/>
  <sheetViews>
    <sheetView zoomScale="110" zoomScaleNormal="110" workbookViewId="0">
      <selection sqref="A1:L11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8" max="8" width="5.570312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1060</v>
      </c>
      <c r="D2" t="s">
        <v>23</v>
      </c>
      <c r="E2">
        <v>7.0000000000000007E-2</v>
      </c>
      <c r="F2" t="s">
        <v>24</v>
      </c>
      <c r="G2">
        <v>136</v>
      </c>
      <c r="H2" t="s">
        <v>24</v>
      </c>
      <c r="I2">
        <v>0.97299999999999998</v>
      </c>
      <c r="L2" t="s">
        <v>90</v>
      </c>
    </row>
    <row r="3" spans="1:12" x14ac:dyDescent="0.25">
      <c r="A3">
        <v>1990</v>
      </c>
      <c r="B3" t="s">
        <v>31</v>
      </c>
      <c r="C3">
        <v>1060</v>
      </c>
      <c r="D3" t="s">
        <v>23</v>
      </c>
      <c r="E3">
        <v>0.35</v>
      </c>
      <c r="F3" t="s">
        <v>24</v>
      </c>
      <c r="G3">
        <v>167</v>
      </c>
      <c r="H3" t="s">
        <v>24</v>
      </c>
      <c r="I3">
        <v>0.98299999999999998</v>
      </c>
      <c r="L3" t="s">
        <v>91</v>
      </c>
    </row>
    <row r="4" spans="1:12" x14ac:dyDescent="0.25">
      <c r="A4">
        <v>2005</v>
      </c>
      <c r="B4" t="s">
        <v>126</v>
      </c>
      <c r="C4">
        <v>590</v>
      </c>
      <c r="D4" t="s">
        <v>23</v>
      </c>
      <c r="E4">
        <f>0.05*(0.75*151.7+0.25*77.13)+0.5*0.001351</f>
        <v>6.6535505000000006</v>
      </c>
      <c r="F4" t="s">
        <v>24</v>
      </c>
      <c r="J4">
        <f>10600 * POWER(590, -1.43)</f>
        <v>1.1560789367832593</v>
      </c>
      <c r="K4" t="s">
        <v>42</v>
      </c>
      <c r="L4" t="s">
        <v>130</v>
      </c>
    </row>
    <row r="5" spans="1:12" x14ac:dyDescent="0.25">
      <c r="A5">
        <v>2005</v>
      </c>
      <c r="B5" t="s">
        <v>126</v>
      </c>
      <c r="C5">
        <v>610</v>
      </c>
      <c r="D5" t="s">
        <v>23</v>
      </c>
      <c r="E5">
        <f>0.05*(0.75*50.58+0.25*8.07)+0.5*0.002644</f>
        <v>1.9989470000000003</v>
      </c>
      <c r="F5" t="s">
        <v>24</v>
      </c>
      <c r="J5">
        <f>10600 * POWER(610, -1.43)</f>
        <v>1.102260389962102</v>
      </c>
      <c r="K5" t="s">
        <v>42</v>
      </c>
      <c r="L5" t="s">
        <v>130</v>
      </c>
    </row>
    <row r="6" spans="1:12" x14ac:dyDescent="0.25">
      <c r="A6">
        <v>2005</v>
      </c>
      <c r="B6" t="s">
        <v>126</v>
      </c>
      <c r="C6">
        <v>630</v>
      </c>
      <c r="D6" t="s">
        <v>23</v>
      </c>
      <c r="E6">
        <f>0.05*(0.75*27.58+0.25*3.27)+0.5*0.002916</f>
        <v>1.0765829999999998</v>
      </c>
      <c r="F6" t="s">
        <v>24</v>
      </c>
      <c r="J6">
        <f>10600 * POWER(630, -1.43)</f>
        <v>1.0525648905244001</v>
      </c>
      <c r="K6" t="s">
        <v>42</v>
      </c>
      <c r="L6" t="s">
        <v>130</v>
      </c>
    </row>
    <row r="7" spans="1:12" x14ac:dyDescent="0.25">
      <c r="A7">
        <v>2005</v>
      </c>
      <c r="B7" t="s">
        <v>126</v>
      </c>
      <c r="C7">
        <v>650</v>
      </c>
      <c r="D7" t="s">
        <v>23</v>
      </c>
      <c r="E7">
        <f>0.05*(0.75*20.08+0.25*1.97)+0.5*0.0034</f>
        <v>0.77932500000000005</v>
      </c>
      <c r="F7" t="s">
        <v>24</v>
      </c>
      <c r="J7">
        <f>10600 * POWER(650, -1.43)</f>
        <v>1.0065602257999489</v>
      </c>
      <c r="K7" t="s">
        <v>42</v>
      </c>
      <c r="L7" t="s">
        <v>130</v>
      </c>
    </row>
    <row r="8" spans="1:12" x14ac:dyDescent="0.25">
      <c r="A8">
        <v>2006</v>
      </c>
      <c r="B8" t="s">
        <v>138</v>
      </c>
      <c r="C8">
        <v>675</v>
      </c>
      <c r="D8" t="s">
        <v>23</v>
      </c>
      <c r="E8">
        <v>0.11</v>
      </c>
      <c r="F8" t="s">
        <v>24</v>
      </c>
      <c r="J8">
        <v>1.1000000000000001</v>
      </c>
      <c r="K8" t="s">
        <v>42</v>
      </c>
      <c r="L8" t="s">
        <v>139</v>
      </c>
    </row>
    <row r="9" spans="1:12" x14ac:dyDescent="0.25">
      <c r="A9">
        <v>2011</v>
      </c>
      <c r="B9" t="s">
        <v>141</v>
      </c>
      <c r="C9">
        <v>630</v>
      </c>
      <c r="D9" t="s">
        <v>23</v>
      </c>
      <c r="E9">
        <f>1.58/2</f>
        <v>0.79</v>
      </c>
      <c r="F9" t="s">
        <v>24</v>
      </c>
      <c r="J9">
        <f>(17.56+75.06)/2</f>
        <v>46.31</v>
      </c>
      <c r="K9" t="s">
        <v>24</v>
      </c>
      <c r="L9" t="s">
        <v>153</v>
      </c>
    </row>
    <row r="10" spans="1:12" x14ac:dyDescent="0.25">
      <c r="A10">
        <v>2011</v>
      </c>
      <c r="B10" t="s">
        <v>141</v>
      </c>
      <c r="C10">
        <v>661</v>
      </c>
      <c r="D10" t="s">
        <v>23</v>
      </c>
      <c r="E10">
        <f>0.3/2</f>
        <v>0.15</v>
      </c>
      <c r="F10" t="s">
        <v>24</v>
      </c>
      <c r="J10">
        <f>(5.22+90.8)/2</f>
        <v>48.01</v>
      </c>
      <c r="K10" t="s">
        <v>24</v>
      </c>
      <c r="L10" t="s">
        <v>154</v>
      </c>
    </row>
    <row r="11" spans="1:12" x14ac:dyDescent="0.25">
      <c r="A11">
        <v>2006</v>
      </c>
      <c r="B11" t="s">
        <v>138</v>
      </c>
      <c r="C11">
        <v>650</v>
      </c>
      <c r="D11" t="s">
        <v>23</v>
      </c>
      <c r="E11">
        <v>0.11</v>
      </c>
      <c r="F11" t="s">
        <v>42</v>
      </c>
      <c r="J11">
        <v>1.1000000000000001</v>
      </c>
      <c r="K11" t="s">
        <v>42</v>
      </c>
      <c r="L11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6"/>
  <sheetViews>
    <sheetView workbookViewId="0">
      <selection sqref="A1:L6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8" max="8" width="5.570312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2005</v>
      </c>
      <c r="B2" t="s">
        <v>126</v>
      </c>
      <c r="C2">
        <v>590</v>
      </c>
      <c r="D2" t="s">
        <v>23</v>
      </c>
      <c r="E2">
        <f>0.056*(0.75*151.7+0.25*77.13)+0.8*0.001351</f>
        <v>7.4523008000000006</v>
      </c>
      <c r="F2" t="s">
        <v>24</v>
      </c>
      <c r="J2">
        <f>41700*POWER(590,-1.51)</f>
        <v>2.7299174675364393</v>
      </c>
      <c r="K2" t="s">
        <v>42</v>
      </c>
      <c r="L2" t="s">
        <v>131</v>
      </c>
    </row>
    <row r="3" spans="1:12" x14ac:dyDescent="0.25">
      <c r="A3">
        <v>2005</v>
      </c>
      <c r="B3" t="s">
        <v>126</v>
      </c>
      <c r="C3">
        <v>610</v>
      </c>
      <c r="D3" t="s">
        <v>23</v>
      </c>
      <c r="E3">
        <f>0.056*(0.75*50.58+0.25*8.07)+0.8*0.002644</f>
        <v>2.2394552000000001</v>
      </c>
      <c r="F3" t="s">
        <v>24</v>
      </c>
      <c r="J3">
        <f>41700*POWER(610,-1.51)</f>
        <v>2.5959002729991796</v>
      </c>
      <c r="K3" t="s">
        <v>42</v>
      </c>
      <c r="L3" t="s">
        <v>131</v>
      </c>
    </row>
    <row r="4" spans="1:12" x14ac:dyDescent="0.25">
      <c r="A4">
        <v>2005</v>
      </c>
      <c r="B4" t="s">
        <v>126</v>
      </c>
      <c r="C4">
        <v>630</v>
      </c>
      <c r="D4" t="s">
        <v>23</v>
      </c>
      <c r="E4">
        <f>0.056*(0.75*27.58+0.25*3.27)+0.8*0.002916</f>
        <v>1.2064728</v>
      </c>
      <c r="F4" t="s">
        <v>24</v>
      </c>
      <c r="J4">
        <f>41700*POWER(630,-1.51)</f>
        <v>2.4724745234911047</v>
      </c>
      <c r="K4" t="s">
        <v>42</v>
      </c>
      <c r="L4" t="s">
        <v>131</v>
      </c>
    </row>
    <row r="5" spans="1:12" x14ac:dyDescent="0.25">
      <c r="A5">
        <v>2005</v>
      </c>
      <c r="B5" t="s">
        <v>126</v>
      </c>
      <c r="C5">
        <v>650</v>
      </c>
      <c r="D5" t="s">
        <v>23</v>
      </c>
      <c r="E5">
        <f>0.056*(0.75*20.08+0.25*1.97)+0.8*0.0034</f>
        <v>0.87365999999999988</v>
      </c>
      <c r="F5" t="s">
        <v>24</v>
      </c>
      <c r="J5">
        <f>41700*POWER(650,-1.51)</f>
        <v>2.3585054624840533</v>
      </c>
      <c r="K5" t="s">
        <v>42</v>
      </c>
      <c r="L5" t="s">
        <v>131</v>
      </c>
    </row>
    <row r="6" spans="1:12" x14ac:dyDescent="0.25">
      <c r="A6">
        <v>2006</v>
      </c>
      <c r="B6" t="s">
        <v>138</v>
      </c>
      <c r="C6">
        <v>650</v>
      </c>
      <c r="D6" t="s">
        <v>23</v>
      </c>
      <c r="E6">
        <v>0.12</v>
      </c>
      <c r="F6" t="s">
        <v>42</v>
      </c>
      <c r="J6">
        <v>1.2</v>
      </c>
      <c r="K6" t="s">
        <v>42</v>
      </c>
      <c r="L6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"/>
  <sheetViews>
    <sheetView workbookViewId="0">
      <selection sqref="A1:L28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8" max="8" width="5.5703125" customWidth="1"/>
    <col min="9" max="9" width="12.85546875" customWidth="1"/>
    <col min="10" max="10" width="17.28515625" customWidth="1"/>
    <col min="11" max="11" width="6.2851562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633</v>
      </c>
      <c r="D2" t="s">
        <v>23</v>
      </c>
      <c r="E2">
        <v>3.21</v>
      </c>
      <c r="F2" t="s">
        <v>24</v>
      </c>
      <c r="J2">
        <v>5.23</v>
      </c>
      <c r="K2" t="s">
        <v>24</v>
      </c>
      <c r="L2" t="s">
        <v>92</v>
      </c>
    </row>
    <row r="3" spans="1:12" x14ac:dyDescent="0.25">
      <c r="A3">
        <v>1990</v>
      </c>
      <c r="B3" t="s">
        <v>31</v>
      </c>
      <c r="C3">
        <v>1064</v>
      </c>
      <c r="D3" t="s">
        <v>23</v>
      </c>
      <c r="E3">
        <v>0.53</v>
      </c>
      <c r="F3" t="s">
        <v>24</v>
      </c>
      <c r="J3">
        <v>1.76</v>
      </c>
      <c r="K3" t="s">
        <v>24</v>
      </c>
      <c r="L3" t="s">
        <v>92</v>
      </c>
    </row>
    <row r="4" spans="1:12" x14ac:dyDescent="0.25">
      <c r="A4">
        <v>1990</v>
      </c>
      <c r="B4" t="s">
        <v>31</v>
      </c>
      <c r="C4">
        <v>1320</v>
      </c>
      <c r="D4" t="s">
        <v>23</v>
      </c>
      <c r="E4">
        <v>0.7</v>
      </c>
      <c r="F4" t="s">
        <v>24</v>
      </c>
      <c r="J4">
        <v>1.2</v>
      </c>
      <c r="K4" t="s">
        <v>24</v>
      </c>
      <c r="L4" t="s">
        <v>92</v>
      </c>
    </row>
    <row r="5" spans="1:12" x14ac:dyDescent="0.25">
      <c r="A5">
        <v>1990</v>
      </c>
      <c r="B5" t="s">
        <v>31</v>
      </c>
      <c r="C5">
        <v>630</v>
      </c>
      <c r="D5" t="s">
        <v>23</v>
      </c>
      <c r="E5">
        <v>3.2</v>
      </c>
      <c r="F5" t="s">
        <v>24</v>
      </c>
      <c r="G5">
        <v>414</v>
      </c>
      <c r="H5" t="s">
        <v>24</v>
      </c>
      <c r="I5">
        <v>0.95</v>
      </c>
      <c r="L5" t="s">
        <v>93</v>
      </c>
    </row>
    <row r="6" spans="1:12" x14ac:dyDescent="0.25">
      <c r="A6">
        <v>1990</v>
      </c>
      <c r="B6" t="s">
        <v>31</v>
      </c>
      <c r="C6">
        <v>635</v>
      </c>
      <c r="D6" t="s">
        <v>23</v>
      </c>
      <c r="E6">
        <v>2.2999999999999998</v>
      </c>
      <c r="F6" t="s">
        <v>24</v>
      </c>
      <c r="G6">
        <v>313</v>
      </c>
      <c r="H6" t="s">
        <v>24</v>
      </c>
      <c r="I6">
        <v>0.68</v>
      </c>
      <c r="L6" t="s">
        <v>94</v>
      </c>
    </row>
    <row r="7" spans="1:12" x14ac:dyDescent="0.25">
      <c r="A7">
        <v>1990</v>
      </c>
      <c r="B7" t="s">
        <v>31</v>
      </c>
      <c r="C7">
        <v>515</v>
      </c>
      <c r="D7" t="s">
        <v>23</v>
      </c>
      <c r="E7">
        <v>18.899999999999999</v>
      </c>
      <c r="F7" t="s">
        <v>24</v>
      </c>
      <c r="G7">
        <v>285</v>
      </c>
      <c r="H7" t="s">
        <v>24</v>
      </c>
      <c r="L7" t="s">
        <v>94</v>
      </c>
    </row>
    <row r="8" spans="1:12" x14ac:dyDescent="0.25">
      <c r="A8">
        <v>1990</v>
      </c>
      <c r="B8" t="s">
        <v>31</v>
      </c>
      <c r="C8">
        <v>488</v>
      </c>
      <c r="D8" t="s">
        <v>23</v>
      </c>
      <c r="E8">
        <v>12.2</v>
      </c>
      <c r="F8" t="s">
        <v>24</v>
      </c>
      <c r="G8">
        <v>173.5</v>
      </c>
      <c r="H8" t="s">
        <v>24</v>
      </c>
      <c r="I8">
        <v>0.93</v>
      </c>
      <c r="L8" t="s">
        <v>95</v>
      </c>
    </row>
    <row r="9" spans="1:12" x14ac:dyDescent="0.25">
      <c r="A9">
        <v>1990</v>
      </c>
      <c r="B9" t="s">
        <v>31</v>
      </c>
      <c r="C9">
        <v>633</v>
      </c>
      <c r="D9" t="s">
        <v>23</v>
      </c>
      <c r="E9">
        <v>6.5</v>
      </c>
      <c r="F9" t="s">
        <v>24</v>
      </c>
      <c r="G9">
        <v>143.69999999999999</v>
      </c>
      <c r="H9" t="s">
        <v>24</v>
      </c>
      <c r="I9">
        <v>0.95</v>
      </c>
      <c r="L9" t="s">
        <v>95</v>
      </c>
    </row>
    <row r="10" spans="1:12" x14ac:dyDescent="0.25">
      <c r="A10">
        <v>1990</v>
      </c>
      <c r="B10" t="s">
        <v>31</v>
      </c>
      <c r="C10">
        <v>800</v>
      </c>
      <c r="D10" t="s">
        <v>23</v>
      </c>
      <c r="E10">
        <v>5.7</v>
      </c>
      <c r="F10" t="s">
        <v>24</v>
      </c>
      <c r="G10">
        <v>97</v>
      </c>
      <c r="H10" t="s">
        <v>24</v>
      </c>
      <c r="I10">
        <v>0.94</v>
      </c>
      <c r="L10" t="s">
        <v>95</v>
      </c>
    </row>
    <row r="11" spans="1:12" x14ac:dyDescent="0.25">
      <c r="A11">
        <v>1990</v>
      </c>
      <c r="B11" t="s">
        <v>31</v>
      </c>
      <c r="C11">
        <v>1064</v>
      </c>
      <c r="D11" t="s">
        <v>23</v>
      </c>
      <c r="E11">
        <v>5.9</v>
      </c>
      <c r="F11" t="s">
        <v>24</v>
      </c>
      <c r="G11">
        <v>60.9</v>
      </c>
      <c r="H11" t="s">
        <v>24</v>
      </c>
      <c r="I11">
        <v>0.92</v>
      </c>
      <c r="L11" t="s">
        <v>95</v>
      </c>
    </row>
    <row r="12" spans="1:12" x14ac:dyDescent="0.25">
      <c r="A12">
        <v>1990</v>
      </c>
      <c r="B12" t="s">
        <v>31</v>
      </c>
      <c r="C12">
        <v>1320</v>
      </c>
      <c r="D12" t="s">
        <v>23</v>
      </c>
      <c r="E12">
        <v>6.6</v>
      </c>
      <c r="F12" t="s">
        <v>24</v>
      </c>
      <c r="G12">
        <v>44.2</v>
      </c>
      <c r="H12" t="s">
        <v>24</v>
      </c>
      <c r="I12">
        <v>0.91</v>
      </c>
      <c r="L12" t="s">
        <v>95</v>
      </c>
    </row>
    <row r="13" spans="1:12" x14ac:dyDescent="0.25">
      <c r="A13">
        <v>1990</v>
      </c>
      <c r="B13" t="s">
        <v>31</v>
      </c>
      <c r="C13">
        <v>2100</v>
      </c>
      <c r="D13" t="s">
        <v>23</v>
      </c>
      <c r="E13">
        <v>27.2</v>
      </c>
      <c r="F13" t="s">
        <v>24</v>
      </c>
      <c r="G13">
        <v>24.5</v>
      </c>
      <c r="H13" t="s">
        <v>24</v>
      </c>
      <c r="I13">
        <v>0.8</v>
      </c>
      <c r="L13" t="s">
        <v>95</v>
      </c>
    </row>
    <row r="14" spans="1:12" x14ac:dyDescent="0.25">
      <c r="A14">
        <v>1990</v>
      </c>
      <c r="B14" t="s">
        <v>31</v>
      </c>
      <c r="C14">
        <v>630</v>
      </c>
      <c r="D14" t="s">
        <v>23</v>
      </c>
      <c r="E14">
        <v>2.7</v>
      </c>
      <c r="F14" t="s">
        <v>24</v>
      </c>
      <c r="J14">
        <v>17</v>
      </c>
      <c r="K14" t="s">
        <v>24</v>
      </c>
      <c r="L14" t="s">
        <v>85</v>
      </c>
    </row>
    <row r="15" spans="1:12" x14ac:dyDescent="0.25">
      <c r="A15">
        <v>1990</v>
      </c>
      <c r="B15" t="s">
        <v>31</v>
      </c>
      <c r="C15">
        <v>1060</v>
      </c>
      <c r="D15" t="s">
        <v>23</v>
      </c>
      <c r="E15">
        <v>10</v>
      </c>
      <c r="F15" t="s">
        <v>24</v>
      </c>
      <c r="L15" t="s">
        <v>96</v>
      </c>
    </row>
    <row r="16" spans="1:12" x14ac:dyDescent="0.25">
      <c r="A16">
        <v>1996</v>
      </c>
      <c r="B16" t="s">
        <v>124</v>
      </c>
      <c r="C16">
        <v>633</v>
      </c>
      <c r="D16" t="s">
        <v>23</v>
      </c>
      <c r="E16">
        <v>0.3</v>
      </c>
      <c r="F16" t="s">
        <v>42</v>
      </c>
      <c r="J16">
        <v>1.01</v>
      </c>
      <c r="K16" t="s">
        <v>42</v>
      </c>
      <c r="L16" t="s">
        <v>125</v>
      </c>
    </row>
    <row r="17" spans="1:12" x14ac:dyDescent="0.25">
      <c r="A17">
        <v>1996</v>
      </c>
      <c r="B17" t="s">
        <v>124</v>
      </c>
      <c r="C17">
        <v>751</v>
      </c>
      <c r="D17" t="s">
        <v>23</v>
      </c>
      <c r="E17">
        <v>0.17</v>
      </c>
      <c r="F17" t="s">
        <v>42</v>
      </c>
      <c r="J17">
        <v>0.32</v>
      </c>
      <c r="K17" t="s">
        <v>42</v>
      </c>
      <c r="L17" t="s">
        <v>125</v>
      </c>
    </row>
    <row r="18" spans="1:12" x14ac:dyDescent="0.25">
      <c r="A18">
        <v>2005</v>
      </c>
      <c r="B18" t="s">
        <v>126</v>
      </c>
      <c r="C18">
        <v>590</v>
      </c>
      <c r="D18" t="s">
        <v>23</v>
      </c>
      <c r="E18">
        <f>0.3*(0.75*151.7+0.25*77.13)+0.7*0.001351</f>
        <v>39.918195700000005</v>
      </c>
      <c r="F18" t="s">
        <v>24</v>
      </c>
      <c r="J18">
        <f>629*POWER(590,-1.05)</f>
        <v>0.77491850728782641</v>
      </c>
      <c r="K18" t="s">
        <v>42</v>
      </c>
      <c r="L18" t="s">
        <v>132</v>
      </c>
    </row>
    <row r="19" spans="1:12" x14ac:dyDescent="0.25">
      <c r="A19">
        <v>2005</v>
      </c>
      <c r="B19" t="s">
        <v>126</v>
      </c>
      <c r="C19">
        <v>610</v>
      </c>
      <c r="D19" t="s">
        <v>23</v>
      </c>
      <c r="E19">
        <f>0.3*(0.75*50.58+0.25*8.07)+0.7*0.002644</f>
        <v>11.987600799999999</v>
      </c>
      <c r="F19" t="s">
        <v>24</v>
      </c>
      <c r="J19">
        <f>629*POWER(610,-1.05)</f>
        <v>0.74826308246053208</v>
      </c>
      <c r="K19" t="s">
        <v>42</v>
      </c>
      <c r="L19" t="s">
        <v>132</v>
      </c>
    </row>
    <row r="20" spans="1:12" x14ac:dyDescent="0.25">
      <c r="A20">
        <v>2005</v>
      </c>
      <c r="B20" t="s">
        <v>126</v>
      </c>
      <c r="C20">
        <v>630</v>
      </c>
      <c r="D20" t="s">
        <v>23</v>
      </c>
      <c r="E20">
        <f>0.3*(0.75*27.58+0.25*3.27)+0.7*0.002916</f>
        <v>6.4527911999999992</v>
      </c>
      <c r="F20" t="s">
        <v>24</v>
      </c>
      <c r="J20">
        <f>629*POWER(630,-1.05)</f>
        <v>0.72334097717074608</v>
      </c>
      <c r="K20" t="s">
        <v>42</v>
      </c>
      <c r="L20" t="s">
        <v>132</v>
      </c>
    </row>
    <row r="21" spans="1:12" x14ac:dyDescent="0.25">
      <c r="A21">
        <v>2005</v>
      </c>
      <c r="B21" t="s">
        <v>126</v>
      </c>
      <c r="C21">
        <v>650</v>
      </c>
      <c r="D21" t="s">
        <v>23</v>
      </c>
      <c r="E21">
        <f>0.3*(0.75*20.08+0.25*1.97)+0.7*0.0034</f>
        <v>4.6681299999999988</v>
      </c>
      <c r="F21" t="s">
        <v>24</v>
      </c>
      <c r="J21">
        <f>629*POWER(650,-1.05)</f>
        <v>0.69998965379996447</v>
      </c>
      <c r="K21" t="s">
        <v>42</v>
      </c>
      <c r="L21" t="s">
        <v>132</v>
      </c>
    </row>
    <row r="22" spans="1:12" x14ac:dyDescent="0.25">
      <c r="A22">
        <v>2006</v>
      </c>
      <c r="B22" t="s">
        <v>138</v>
      </c>
      <c r="C22">
        <v>675</v>
      </c>
      <c r="D22" t="s">
        <v>23</v>
      </c>
      <c r="E22">
        <v>0.45</v>
      </c>
      <c r="F22" t="s">
        <v>42</v>
      </c>
      <c r="J22">
        <v>2</v>
      </c>
      <c r="K22" t="s">
        <v>42</v>
      </c>
      <c r="L22" t="s">
        <v>139</v>
      </c>
    </row>
    <row r="23" spans="1:12" x14ac:dyDescent="0.25">
      <c r="A23">
        <v>2011</v>
      </c>
      <c r="B23" t="s">
        <v>141</v>
      </c>
      <c r="C23">
        <v>630</v>
      </c>
      <c r="D23" t="s">
        <v>23</v>
      </c>
      <c r="E23">
        <f>(1.15+1.56)/2</f>
        <v>1.355</v>
      </c>
      <c r="F23" t="s">
        <v>24</v>
      </c>
      <c r="J23">
        <f>(21.6+30.4)/2</f>
        <v>26</v>
      </c>
      <c r="K23" t="s">
        <v>24</v>
      </c>
      <c r="L23" t="s">
        <v>155</v>
      </c>
    </row>
    <row r="24" spans="1:12" x14ac:dyDescent="0.25">
      <c r="A24">
        <v>2013</v>
      </c>
      <c r="B24" t="s">
        <v>27</v>
      </c>
      <c r="C24">
        <v>590</v>
      </c>
      <c r="D24" t="s">
        <v>23</v>
      </c>
      <c r="J24">
        <f>9*POWER(C24/500,-0.617)</f>
        <v>8.1262711791399216</v>
      </c>
      <c r="K24" t="s">
        <v>24</v>
      </c>
      <c r="L24" t="s">
        <v>188</v>
      </c>
    </row>
    <row r="25" spans="1:12" x14ac:dyDescent="0.25">
      <c r="A25">
        <v>2013</v>
      </c>
      <c r="B25" t="s">
        <v>27</v>
      </c>
      <c r="C25">
        <v>610</v>
      </c>
      <c r="D25" t="s">
        <v>23</v>
      </c>
      <c r="J25">
        <f>9*POWER(C25/500,-0.617)</f>
        <v>7.9608326407132859</v>
      </c>
      <c r="K25" t="s">
        <v>24</v>
      </c>
      <c r="L25" t="s">
        <v>188</v>
      </c>
    </row>
    <row r="26" spans="1:12" x14ac:dyDescent="0.25">
      <c r="A26">
        <v>2013</v>
      </c>
      <c r="B26" t="s">
        <v>27</v>
      </c>
      <c r="C26">
        <v>630</v>
      </c>
      <c r="D26" t="s">
        <v>23</v>
      </c>
      <c r="J26">
        <f>9*POWER(C26/500,-0.617)</f>
        <v>7.8039393065063498</v>
      </c>
      <c r="K26" t="s">
        <v>24</v>
      </c>
      <c r="L26" t="s">
        <v>188</v>
      </c>
    </row>
    <row r="27" spans="1:12" x14ac:dyDescent="0.25">
      <c r="A27">
        <v>2013</v>
      </c>
      <c r="B27" t="s">
        <v>27</v>
      </c>
      <c r="C27">
        <v>650</v>
      </c>
      <c r="D27" t="s">
        <v>23</v>
      </c>
      <c r="J27">
        <f>9*POWER(C27/500,-0.617)</f>
        <v>7.6548989320859464</v>
      </c>
      <c r="K27" t="s">
        <v>24</v>
      </c>
      <c r="L27" t="s">
        <v>188</v>
      </c>
    </row>
    <row r="28" spans="1:12" x14ac:dyDescent="0.25">
      <c r="A28">
        <v>2006</v>
      </c>
      <c r="B28" t="s">
        <v>138</v>
      </c>
      <c r="C28">
        <v>650</v>
      </c>
      <c r="D28" t="s">
        <v>23</v>
      </c>
      <c r="E28">
        <v>0.45</v>
      </c>
      <c r="F28" t="s">
        <v>42</v>
      </c>
      <c r="J28">
        <v>2</v>
      </c>
      <c r="K28" t="s">
        <v>42</v>
      </c>
      <c r="L28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2"/>
  <sheetViews>
    <sheetView workbookViewId="0">
      <selection sqref="A1:L12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635</v>
      </c>
      <c r="D2" t="s">
        <v>23</v>
      </c>
      <c r="E2">
        <v>8.1</v>
      </c>
      <c r="F2" t="s">
        <v>24</v>
      </c>
      <c r="G2">
        <v>324</v>
      </c>
      <c r="H2" t="s">
        <v>24</v>
      </c>
      <c r="I2">
        <v>0.75</v>
      </c>
      <c r="L2" t="s">
        <v>94</v>
      </c>
    </row>
    <row r="3" spans="1:12" x14ac:dyDescent="0.25">
      <c r="A3">
        <v>1990</v>
      </c>
      <c r="B3" t="s">
        <v>31</v>
      </c>
      <c r="C3">
        <v>515</v>
      </c>
      <c r="D3" t="s">
        <v>23</v>
      </c>
      <c r="E3">
        <v>25.5</v>
      </c>
      <c r="F3" t="s">
        <v>24</v>
      </c>
      <c r="G3">
        <v>356</v>
      </c>
      <c r="H3" t="s">
        <v>24</v>
      </c>
      <c r="L3" t="s">
        <v>94</v>
      </c>
    </row>
    <row r="4" spans="1:12" x14ac:dyDescent="0.25">
      <c r="A4">
        <v>1990</v>
      </c>
      <c r="B4" t="s">
        <v>31</v>
      </c>
      <c r="C4">
        <v>630</v>
      </c>
      <c r="D4" t="s">
        <v>23</v>
      </c>
      <c r="E4">
        <v>8.4</v>
      </c>
      <c r="F4" t="s">
        <v>24</v>
      </c>
      <c r="G4">
        <v>35.9</v>
      </c>
      <c r="H4" t="s">
        <v>24</v>
      </c>
      <c r="I4">
        <v>0.95</v>
      </c>
      <c r="L4" t="s">
        <v>93</v>
      </c>
    </row>
    <row r="5" spans="1:12" x14ac:dyDescent="0.25">
      <c r="A5">
        <v>2005</v>
      </c>
      <c r="B5" t="s">
        <v>126</v>
      </c>
      <c r="C5">
        <v>590</v>
      </c>
      <c r="D5" t="s">
        <v>23</v>
      </c>
      <c r="E5">
        <f>0.15*(0.85*151.7+0.15*77.13)+0.85*0.001351</f>
        <v>21.078323350000002</v>
      </c>
      <c r="F5" t="s">
        <v>24</v>
      </c>
      <c r="J5">
        <f>68.4*POWER(590,-0.53)</f>
        <v>2.325436771420633</v>
      </c>
      <c r="K5" t="s">
        <v>42</v>
      </c>
      <c r="L5" t="s">
        <v>134</v>
      </c>
    </row>
    <row r="6" spans="1:12" x14ac:dyDescent="0.25">
      <c r="A6">
        <v>2005</v>
      </c>
      <c r="B6" t="s">
        <v>126</v>
      </c>
      <c r="C6">
        <v>610</v>
      </c>
      <c r="D6" t="s">
        <v>23</v>
      </c>
      <c r="E6">
        <f>0.15*(0.85*50.58+0.15*8.07)+0.85*0.002644</f>
        <v>6.6327723999999995</v>
      </c>
      <c r="F6" t="s">
        <v>24</v>
      </c>
      <c r="J6">
        <f>68.4*POWER(610,-0.53)</f>
        <v>2.2847110868340996</v>
      </c>
      <c r="K6" t="s">
        <v>42</v>
      </c>
      <c r="L6" t="s">
        <v>134</v>
      </c>
    </row>
    <row r="7" spans="1:12" x14ac:dyDescent="0.25">
      <c r="A7">
        <v>2005</v>
      </c>
      <c r="B7" t="s">
        <v>126</v>
      </c>
      <c r="C7">
        <v>630</v>
      </c>
      <c r="D7" t="s">
        <v>23</v>
      </c>
      <c r="E7">
        <f>0.15*(0.85*27.58+0.15*3.27)+0.85*0.002916</f>
        <v>3.5925035999999997</v>
      </c>
      <c r="F7" t="s">
        <v>24</v>
      </c>
      <c r="J7">
        <f>68.4*POWER(630,-0.53)</f>
        <v>2.2459785823312353</v>
      </c>
      <c r="K7" t="s">
        <v>42</v>
      </c>
      <c r="L7" t="s">
        <v>134</v>
      </c>
    </row>
    <row r="8" spans="1:12" x14ac:dyDescent="0.25">
      <c r="A8">
        <v>2005</v>
      </c>
      <c r="B8" t="s">
        <v>126</v>
      </c>
      <c r="C8">
        <v>650</v>
      </c>
      <c r="D8" t="s">
        <v>23</v>
      </c>
      <c r="E8">
        <f>0.15*(0.85*20.08+0.15*1.97)+0.85*0.0034</f>
        <v>2.6074149999999996</v>
      </c>
      <c r="F8" t="s">
        <v>24</v>
      </c>
      <c r="J8">
        <f>68.4*POWER(650,-0.53)</f>
        <v>2.2090829447777049</v>
      </c>
      <c r="K8" t="s">
        <v>42</v>
      </c>
      <c r="L8" t="s">
        <v>134</v>
      </c>
    </row>
    <row r="9" spans="1:12" x14ac:dyDescent="0.25">
      <c r="A9">
        <v>2006</v>
      </c>
      <c r="B9" t="s">
        <v>138</v>
      </c>
      <c r="C9">
        <v>675</v>
      </c>
      <c r="D9" t="s">
        <v>23</v>
      </c>
      <c r="E9">
        <v>0.35</v>
      </c>
      <c r="F9" t="s">
        <v>42</v>
      </c>
      <c r="J9">
        <v>2.2999999999999998</v>
      </c>
      <c r="K9" t="s">
        <v>42</v>
      </c>
      <c r="L9" t="s">
        <v>139</v>
      </c>
    </row>
    <row r="10" spans="1:12" x14ac:dyDescent="0.25">
      <c r="A10">
        <v>2011</v>
      </c>
      <c r="B10" t="s">
        <v>141</v>
      </c>
      <c r="C10">
        <v>630</v>
      </c>
      <c r="D10" t="s">
        <v>23</v>
      </c>
      <c r="E10">
        <f>(0.16+1.36)/2</f>
        <v>0.76</v>
      </c>
      <c r="F10" t="s">
        <v>24</v>
      </c>
      <c r="J10">
        <f>(1.07+83.81)/2</f>
        <v>42.44</v>
      </c>
      <c r="K10" t="s">
        <v>24</v>
      </c>
      <c r="L10" t="s">
        <v>156</v>
      </c>
    </row>
    <row r="11" spans="1:12" x14ac:dyDescent="0.25">
      <c r="A11">
        <v>2011</v>
      </c>
      <c r="B11" t="s">
        <v>141</v>
      </c>
      <c r="C11">
        <v>661</v>
      </c>
      <c r="D11" t="s">
        <v>23</v>
      </c>
      <c r="E11">
        <f>(0.49+0.88)/2</f>
        <v>0.68500000000000005</v>
      </c>
      <c r="F11" t="s">
        <v>24</v>
      </c>
      <c r="J11">
        <f>(21.14+22.52)/2</f>
        <v>21.83</v>
      </c>
      <c r="K11" t="s">
        <v>24</v>
      </c>
      <c r="L11" t="s">
        <v>157</v>
      </c>
    </row>
    <row r="12" spans="1:12" x14ac:dyDescent="0.25">
      <c r="A12">
        <v>2006</v>
      </c>
      <c r="B12" t="s">
        <v>138</v>
      </c>
      <c r="C12">
        <v>650</v>
      </c>
      <c r="D12" t="s">
        <v>23</v>
      </c>
      <c r="E12">
        <v>0.35</v>
      </c>
      <c r="F12" t="s">
        <v>42</v>
      </c>
      <c r="J12">
        <v>2.2999999999999998</v>
      </c>
      <c r="K12" t="s">
        <v>42</v>
      </c>
      <c r="L12" t="s">
        <v>195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2" workbookViewId="0">
      <selection activeCell="I42" sqref="I42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5.28515625" customWidth="1"/>
    <col min="7" max="7" width="9.7109375" customWidth="1"/>
    <col min="8" max="8" width="5.710937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630</v>
      </c>
      <c r="D2" t="s">
        <v>23</v>
      </c>
      <c r="I2">
        <v>0.96499999999999997</v>
      </c>
      <c r="L2" t="s">
        <v>97</v>
      </c>
    </row>
    <row r="3" spans="1:12" x14ac:dyDescent="0.25">
      <c r="A3">
        <v>1990</v>
      </c>
      <c r="B3" t="s">
        <v>31</v>
      </c>
      <c r="C3">
        <v>515</v>
      </c>
      <c r="D3" t="s">
        <v>23</v>
      </c>
      <c r="E3">
        <v>11.2</v>
      </c>
      <c r="F3" t="s">
        <v>24</v>
      </c>
      <c r="G3">
        <v>530</v>
      </c>
      <c r="H3" t="s">
        <v>24</v>
      </c>
      <c r="L3" t="s">
        <v>94</v>
      </c>
    </row>
    <row r="4" spans="1:12" x14ac:dyDescent="0.25">
      <c r="A4">
        <v>1990</v>
      </c>
      <c r="B4" t="s">
        <v>31</v>
      </c>
      <c r="C4">
        <v>633</v>
      </c>
      <c r="D4" t="s">
        <v>23</v>
      </c>
      <c r="E4">
        <v>1</v>
      </c>
      <c r="F4" t="s">
        <v>24</v>
      </c>
      <c r="G4">
        <v>40</v>
      </c>
      <c r="H4" t="s">
        <v>24</v>
      </c>
      <c r="I4">
        <v>0.97</v>
      </c>
      <c r="J4">
        <v>1.2</v>
      </c>
      <c r="K4" t="s">
        <v>24</v>
      </c>
      <c r="L4" t="s">
        <v>98</v>
      </c>
    </row>
    <row r="5" spans="1:12" x14ac:dyDescent="0.25">
      <c r="A5">
        <v>1990</v>
      </c>
      <c r="B5" t="s">
        <v>31</v>
      </c>
      <c r="C5">
        <v>1060</v>
      </c>
      <c r="D5" t="s">
        <v>23</v>
      </c>
      <c r="E5">
        <v>2</v>
      </c>
      <c r="F5" t="s">
        <v>24</v>
      </c>
      <c r="L5" t="s">
        <v>99</v>
      </c>
    </row>
    <row r="6" spans="1:12" x14ac:dyDescent="0.25">
      <c r="A6">
        <v>1990</v>
      </c>
      <c r="B6" t="s">
        <v>31</v>
      </c>
      <c r="C6">
        <v>633</v>
      </c>
      <c r="D6" t="s">
        <v>23</v>
      </c>
      <c r="E6">
        <v>0.4</v>
      </c>
      <c r="F6" t="s">
        <v>24</v>
      </c>
      <c r="G6">
        <v>7.9</v>
      </c>
      <c r="H6" t="s">
        <v>24</v>
      </c>
      <c r="I6">
        <v>0.3</v>
      </c>
      <c r="J6">
        <v>5.53</v>
      </c>
      <c r="K6" t="s">
        <v>24</v>
      </c>
      <c r="L6" t="s">
        <v>100</v>
      </c>
    </row>
    <row r="7" spans="1:12" x14ac:dyDescent="0.25">
      <c r="A7">
        <v>1990</v>
      </c>
      <c r="B7" t="s">
        <v>31</v>
      </c>
      <c r="C7">
        <v>633</v>
      </c>
      <c r="D7" t="s">
        <v>23</v>
      </c>
      <c r="E7">
        <v>1.5</v>
      </c>
      <c r="F7" t="s">
        <v>24</v>
      </c>
      <c r="G7">
        <v>119</v>
      </c>
      <c r="H7" t="s">
        <v>24</v>
      </c>
      <c r="I7">
        <v>0.94099999999999995</v>
      </c>
      <c r="J7">
        <v>7</v>
      </c>
      <c r="K7" t="s">
        <v>24</v>
      </c>
      <c r="L7" t="s">
        <v>101</v>
      </c>
    </row>
    <row r="8" spans="1:12" x14ac:dyDescent="0.25">
      <c r="A8">
        <v>1990</v>
      </c>
      <c r="B8" t="s">
        <v>31</v>
      </c>
      <c r="C8">
        <v>630</v>
      </c>
      <c r="D8" t="s">
        <v>23</v>
      </c>
      <c r="I8">
        <v>0.94099999999999995</v>
      </c>
      <c r="L8" t="s">
        <v>102</v>
      </c>
    </row>
    <row r="9" spans="1:12" x14ac:dyDescent="0.25">
      <c r="A9">
        <v>1990</v>
      </c>
      <c r="B9" t="s">
        <v>31</v>
      </c>
      <c r="C9">
        <v>630</v>
      </c>
      <c r="D9" t="s">
        <v>23</v>
      </c>
      <c r="E9">
        <v>3.5</v>
      </c>
      <c r="F9" t="s">
        <v>24</v>
      </c>
      <c r="G9">
        <v>45</v>
      </c>
      <c r="H9" t="s">
        <v>24</v>
      </c>
      <c r="L9" t="s">
        <v>103</v>
      </c>
    </row>
    <row r="10" spans="1:12" x14ac:dyDescent="0.25">
      <c r="A10">
        <v>1990</v>
      </c>
      <c r="B10" t="s">
        <v>31</v>
      </c>
      <c r="C10">
        <v>633</v>
      </c>
      <c r="D10" t="s">
        <v>23</v>
      </c>
      <c r="E10">
        <v>1.7</v>
      </c>
      <c r="F10" t="s">
        <v>24</v>
      </c>
      <c r="J10">
        <v>4.4000000000000004</v>
      </c>
      <c r="K10" t="s">
        <v>24</v>
      </c>
      <c r="L10" t="s">
        <v>92</v>
      </c>
    </row>
    <row r="11" spans="1:12" x14ac:dyDescent="0.25">
      <c r="A11">
        <v>1990</v>
      </c>
      <c r="B11" t="s">
        <v>31</v>
      </c>
      <c r="C11">
        <v>1064</v>
      </c>
      <c r="D11" t="s">
        <v>23</v>
      </c>
      <c r="E11">
        <v>1.2</v>
      </c>
      <c r="F11" t="s">
        <v>24</v>
      </c>
      <c r="J11">
        <v>2.8</v>
      </c>
      <c r="K11" t="s">
        <v>24</v>
      </c>
      <c r="L11" t="s">
        <v>92</v>
      </c>
    </row>
    <row r="12" spans="1:12" x14ac:dyDescent="0.25">
      <c r="A12">
        <v>1990</v>
      </c>
      <c r="B12" t="s">
        <v>31</v>
      </c>
      <c r="C12">
        <v>1320</v>
      </c>
      <c r="D12" t="s">
        <v>23</v>
      </c>
      <c r="E12">
        <v>2.2999999999999998</v>
      </c>
      <c r="F12" t="s">
        <v>24</v>
      </c>
      <c r="J12">
        <v>2.4</v>
      </c>
      <c r="K12" t="s">
        <v>24</v>
      </c>
      <c r="L12" t="s">
        <v>92</v>
      </c>
    </row>
    <row r="13" spans="1:12" x14ac:dyDescent="0.25">
      <c r="A13">
        <v>1990</v>
      </c>
      <c r="B13" t="s">
        <v>31</v>
      </c>
      <c r="C13">
        <v>633</v>
      </c>
      <c r="D13" t="s">
        <v>23</v>
      </c>
      <c r="E13">
        <v>0.17</v>
      </c>
      <c r="F13" t="s">
        <v>24</v>
      </c>
      <c r="G13">
        <v>4.0999999999999996</v>
      </c>
      <c r="H13" t="s">
        <v>24</v>
      </c>
      <c r="I13">
        <v>0.2</v>
      </c>
      <c r="J13">
        <v>3.3</v>
      </c>
      <c r="K13" t="s">
        <v>24</v>
      </c>
      <c r="L13" t="s">
        <v>38</v>
      </c>
    </row>
    <row r="14" spans="1:12" x14ac:dyDescent="0.25">
      <c r="A14">
        <v>1990</v>
      </c>
      <c r="B14" t="s">
        <v>31</v>
      </c>
      <c r="C14">
        <v>633</v>
      </c>
      <c r="D14" t="s">
        <v>23</v>
      </c>
      <c r="E14">
        <v>0.12</v>
      </c>
      <c r="F14" t="s">
        <v>24</v>
      </c>
      <c r="G14">
        <v>229</v>
      </c>
      <c r="H14" t="s">
        <v>24</v>
      </c>
      <c r="I14">
        <v>0.96499999999999997</v>
      </c>
      <c r="J14">
        <v>8</v>
      </c>
      <c r="K14" t="s">
        <v>24</v>
      </c>
      <c r="L14" t="s">
        <v>104</v>
      </c>
    </row>
    <row r="15" spans="1:12" x14ac:dyDescent="0.25">
      <c r="A15">
        <v>1996</v>
      </c>
      <c r="B15" t="s">
        <v>124</v>
      </c>
      <c r="C15">
        <v>633</v>
      </c>
      <c r="D15" t="s">
        <v>23</v>
      </c>
      <c r="E15">
        <v>9.6000000000000002E-2</v>
      </c>
      <c r="F15" t="s">
        <v>42</v>
      </c>
      <c r="J15">
        <v>0.53</v>
      </c>
      <c r="K15" t="s">
        <v>42</v>
      </c>
      <c r="L15" t="s">
        <v>125</v>
      </c>
    </row>
    <row r="16" spans="1:12" x14ac:dyDescent="0.25">
      <c r="A16">
        <v>1996</v>
      </c>
      <c r="B16" t="s">
        <v>124</v>
      </c>
      <c r="C16">
        <v>751</v>
      </c>
      <c r="D16" t="s">
        <v>23</v>
      </c>
      <c r="E16">
        <v>3.6999999999999998E-2</v>
      </c>
      <c r="F16" t="s">
        <v>42</v>
      </c>
      <c r="J16">
        <v>0.34</v>
      </c>
      <c r="K16" t="s">
        <v>42</v>
      </c>
      <c r="L16" t="s">
        <v>125</v>
      </c>
    </row>
    <row r="17" spans="1:12" x14ac:dyDescent="0.25">
      <c r="A17">
        <v>2005</v>
      </c>
      <c r="B17" t="s">
        <v>126</v>
      </c>
      <c r="C17">
        <v>590</v>
      </c>
      <c r="D17" t="s">
        <v>23</v>
      </c>
      <c r="J17">
        <f>40000000*POWER(590,-2.82)</f>
        <v>0.61412576551601061</v>
      </c>
      <c r="K17" t="s">
        <v>42</v>
      </c>
      <c r="L17" t="s">
        <v>133</v>
      </c>
    </row>
    <row r="18" spans="1:12" x14ac:dyDescent="0.25">
      <c r="A18">
        <v>2005</v>
      </c>
      <c r="B18" t="s">
        <v>126</v>
      </c>
      <c r="C18">
        <v>610</v>
      </c>
      <c r="D18" t="s">
        <v>23</v>
      </c>
      <c r="J18">
        <f>40000000*POWER(610,-2.82)</f>
        <v>0.55902323179229441</v>
      </c>
      <c r="K18" t="s">
        <v>42</v>
      </c>
      <c r="L18" t="s">
        <v>133</v>
      </c>
    </row>
    <row r="19" spans="1:12" x14ac:dyDescent="0.25">
      <c r="A19">
        <v>2005</v>
      </c>
      <c r="B19" t="s">
        <v>126</v>
      </c>
      <c r="C19">
        <v>630</v>
      </c>
      <c r="D19" t="s">
        <v>23</v>
      </c>
      <c r="J19">
        <f>40000000*POWER(630,-2.82)</f>
        <v>0.51041054924120477</v>
      </c>
      <c r="K19" t="s">
        <v>42</v>
      </c>
      <c r="L19" t="s">
        <v>133</v>
      </c>
    </row>
    <row r="20" spans="1:12" x14ac:dyDescent="0.25">
      <c r="A20">
        <v>2005</v>
      </c>
      <c r="B20" t="s">
        <v>126</v>
      </c>
      <c r="C20">
        <v>650</v>
      </c>
      <c r="D20" t="s">
        <v>23</v>
      </c>
      <c r="J20">
        <f>40000000*POWER(650,-2.82)</f>
        <v>0.46735223678117344</v>
      </c>
      <c r="K20" t="s">
        <v>42</v>
      </c>
      <c r="L20" t="s">
        <v>133</v>
      </c>
    </row>
    <row r="21" spans="1:12" x14ac:dyDescent="0.25">
      <c r="A21">
        <v>2006</v>
      </c>
      <c r="B21" t="s">
        <v>138</v>
      </c>
      <c r="C21">
        <v>675</v>
      </c>
      <c r="D21" t="s">
        <v>23</v>
      </c>
      <c r="E21">
        <v>0.23</v>
      </c>
      <c r="F21" t="s">
        <v>42</v>
      </c>
      <c r="J21">
        <v>1</v>
      </c>
      <c r="K21" t="s">
        <v>42</v>
      </c>
      <c r="L21" t="s">
        <v>139</v>
      </c>
    </row>
    <row r="22" spans="1:12" x14ac:dyDescent="0.25">
      <c r="A22">
        <v>2011</v>
      </c>
      <c r="B22" t="s">
        <v>163</v>
      </c>
      <c r="C22">
        <v>633</v>
      </c>
      <c r="D22" t="s">
        <v>23</v>
      </c>
      <c r="E22" s="8">
        <v>42392</v>
      </c>
      <c r="F22" t="s">
        <v>24</v>
      </c>
      <c r="J22">
        <v>8.94</v>
      </c>
      <c r="K22" t="s">
        <v>24</v>
      </c>
      <c r="L22" t="s">
        <v>175</v>
      </c>
    </row>
    <row r="23" spans="1:12" x14ac:dyDescent="0.25">
      <c r="A23">
        <v>2011</v>
      </c>
      <c r="B23" t="s">
        <v>163</v>
      </c>
      <c r="C23">
        <v>700</v>
      </c>
      <c r="D23" t="s">
        <v>23</v>
      </c>
      <c r="E23">
        <v>0.48</v>
      </c>
      <c r="F23" t="s">
        <v>24</v>
      </c>
      <c r="J23">
        <v>8.18</v>
      </c>
      <c r="K23" t="s">
        <v>24</v>
      </c>
      <c r="L23" t="s">
        <v>175</v>
      </c>
    </row>
    <row r="24" spans="1:12" x14ac:dyDescent="0.25">
      <c r="A24">
        <v>2011</v>
      </c>
      <c r="B24" t="s">
        <v>163</v>
      </c>
      <c r="C24">
        <v>750</v>
      </c>
      <c r="D24" t="s">
        <v>23</v>
      </c>
      <c r="E24">
        <v>0.41</v>
      </c>
      <c r="F24" t="s">
        <v>24</v>
      </c>
      <c r="J24">
        <v>7.71</v>
      </c>
      <c r="K24" t="s">
        <v>24</v>
      </c>
      <c r="L24" t="s">
        <v>175</v>
      </c>
    </row>
    <row r="25" spans="1:12" x14ac:dyDescent="0.25">
      <c r="A25">
        <v>2011</v>
      </c>
      <c r="B25" t="s">
        <v>163</v>
      </c>
      <c r="C25">
        <v>800</v>
      </c>
      <c r="D25" t="s">
        <v>23</v>
      </c>
      <c r="E25">
        <v>0.28000000000000003</v>
      </c>
      <c r="F25" t="s">
        <v>24</v>
      </c>
      <c r="J25">
        <v>7.04</v>
      </c>
      <c r="K25" t="s">
        <v>24</v>
      </c>
      <c r="L25" t="s">
        <v>175</v>
      </c>
    </row>
    <row r="26" spans="1:12" x14ac:dyDescent="0.25">
      <c r="A26">
        <v>2011</v>
      </c>
      <c r="B26" t="s">
        <v>163</v>
      </c>
      <c r="C26">
        <v>630</v>
      </c>
      <c r="D26" t="s">
        <v>23</v>
      </c>
      <c r="E26">
        <v>1.4</v>
      </c>
      <c r="F26" t="s">
        <v>24</v>
      </c>
      <c r="G26">
        <v>110</v>
      </c>
      <c r="H26" t="s">
        <v>24</v>
      </c>
      <c r="I26">
        <v>0.84599999999999997</v>
      </c>
      <c r="J26">
        <v>16.5</v>
      </c>
      <c r="K26" t="s">
        <v>24</v>
      </c>
      <c r="L26" t="s">
        <v>174</v>
      </c>
    </row>
    <row r="27" spans="1:12" x14ac:dyDescent="0.25">
      <c r="A27">
        <v>2011</v>
      </c>
      <c r="B27" t="s">
        <v>163</v>
      </c>
      <c r="C27">
        <v>632.79999999999995</v>
      </c>
      <c r="D27" t="s">
        <v>23</v>
      </c>
      <c r="E27">
        <v>0.74</v>
      </c>
      <c r="F27" t="s">
        <v>24</v>
      </c>
      <c r="G27">
        <v>140</v>
      </c>
      <c r="H27" t="s">
        <v>24</v>
      </c>
      <c r="I27">
        <v>0.96799999999999997</v>
      </c>
      <c r="J27">
        <v>4.4000000000000004</v>
      </c>
      <c r="K27" t="s">
        <v>24</v>
      </c>
      <c r="L27" t="s">
        <v>174</v>
      </c>
    </row>
    <row r="28" spans="1:12" x14ac:dyDescent="0.25">
      <c r="A28">
        <v>2011</v>
      </c>
      <c r="B28" t="s">
        <v>163</v>
      </c>
      <c r="C28">
        <v>790</v>
      </c>
      <c r="D28" t="s">
        <v>23</v>
      </c>
      <c r="E28">
        <v>2.2999999999999998</v>
      </c>
      <c r="F28" t="s">
        <v>24</v>
      </c>
      <c r="G28">
        <v>157</v>
      </c>
      <c r="H28" t="s">
        <v>24</v>
      </c>
      <c r="I28">
        <v>0.95</v>
      </c>
      <c r="J28">
        <v>6.8</v>
      </c>
      <c r="K28" t="s">
        <v>24</v>
      </c>
      <c r="L28" t="s">
        <v>174</v>
      </c>
    </row>
    <row r="29" spans="1:12" x14ac:dyDescent="0.25">
      <c r="A29">
        <v>2011</v>
      </c>
      <c r="B29" t="s">
        <v>163</v>
      </c>
      <c r="C29">
        <v>630</v>
      </c>
      <c r="D29" t="s">
        <v>23</v>
      </c>
      <c r="E29">
        <v>1.2</v>
      </c>
      <c r="F29" t="s">
        <v>24</v>
      </c>
      <c r="G29">
        <v>239</v>
      </c>
      <c r="H29" t="s">
        <v>24</v>
      </c>
      <c r="I29">
        <v>0.73199999999999998</v>
      </c>
      <c r="J29">
        <v>62.1</v>
      </c>
      <c r="K29" t="s">
        <v>24</v>
      </c>
      <c r="L29" t="s">
        <v>176</v>
      </c>
    </row>
    <row r="30" spans="1:12" x14ac:dyDescent="0.25">
      <c r="A30">
        <v>2011</v>
      </c>
      <c r="B30" t="s">
        <v>163</v>
      </c>
      <c r="C30">
        <v>632.79999999999995</v>
      </c>
      <c r="D30" t="s">
        <v>23</v>
      </c>
      <c r="E30">
        <v>0.59</v>
      </c>
      <c r="F30" t="s">
        <v>24</v>
      </c>
      <c r="G30">
        <v>179</v>
      </c>
      <c r="H30" t="s">
        <v>24</v>
      </c>
      <c r="I30">
        <v>0.85799999999999998</v>
      </c>
      <c r="J30">
        <v>24.7</v>
      </c>
      <c r="K30" t="s">
        <v>24</v>
      </c>
      <c r="L30" t="s">
        <v>176</v>
      </c>
    </row>
    <row r="31" spans="1:12" x14ac:dyDescent="0.25">
      <c r="A31">
        <v>2011</v>
      </c>
      <c r="B31" t="s">
        <v>163</v>
      </c>
      <c r="C31">
        <v>500</v>
      </c>
      <c r="D31" t="s">
        <v>23</v>
      </c>
      <c r="E31">
        <v>1.17</v>
      </c>
      <c r="F31" t="s">
        <v>24</v>
      </c>
      <c r="G31">
        <v>89.2</v>
      </c>
      <c r="H31" t="s">
        <v>24</v>
      </c>
      <c r="I31">
        <v>0.90300000000000002</v>
      </c>
      <c r="L31" t="s">
        <v>177</v>
      </c>
    </row>
    <row r="32" spans="1:12" x14ac:dyDescent="0.25">
      <c r="A32">
        <v>2011</v>
      </c>
      <c r="B32" t="s">
        <v>163</v>
      </c>
      <c r="C32">
        <v>550</v>
      </c>
      <c r="D32" t="s">
        <v>23</v>
      </c>
      <c r="E32">
        <v>1.66</v>
      </c>
      <c r="F32" t="s">
        <v>24</v>
      </c>
      <c r="G32">
        <v>88.2</v>
      </c>
      <c r="H32" t="s">
        <v>24</v>
      </c>
      <c r="I32">
        <v>0.90900000000000003</v>
      </c>
      <c r="L32" t="s">
        <v>177</v>
      </c>
    </row>
    <row r="33" spans="1:12" x14ac:dyDescent="0.25">
      <c r="A33">
        <v>2011</v>
      </c>
      <c r="B33" t="s">
        <v>163</v>
      </c>
      <c r="C33">
        <v>600</v>
      </c>
      <c r="D33" t="s">
        <v>23</v>
      </c>
      <c r="E33">
        <v>0.95</v>
      </c>
      <c r="F33" t="s">
        <v>24</v>
      </c>
      <c r="G33">
        <v>83.3</v>
      </c>
      <c r="H33" t="s">
        <v>24</v>
      </c>
      <c r="I33">
        <v>0.92600000000000005</v>
      </c>
      <c r="L33" t="s">
        <v>178</v>
      </c>
    </row>
    <row r="34" spans="1:12" x14ac:dyDescent="0.25">
      <c r="A34">
        <v>2011</v>
      </c>
      <c r="B34" t="s">
        <v>163</v>
      </c>
      <c r="C34">
        <v>650</v>
      </c>
      <c r="D34" t="s">
        <v>23</v>
      </c>
      <c r="E34">
        <v>0.56000000000000005</v>
      </c>
      <c r="F34" t="s">
        <v>24</v>
      </c>
      <c r="G34">
        <v>79</v>
      </c>
      <c r="H34" t="s">
        <v>24</v>
      </c>
      <c r="I34">
        <v>0.93</v>
      </c>
      <c r="L34" t="s">
        <v>178</v>
      </c>
    </row>
    <row r="35" spans="1:12" x14ac:dyDescent="0.25">
      <c r="A35">
        <v>2011</v>
      </c>
      <c r="B35" t="s">
        <v>163</v>
      </c>
      <c r="C35">
        <v>700</v>
      </c>
      <c r="D35" t="s">
        <v>23</v>
      </c>
      <c r="E35">
        <v>0.52</v>
      </c>
      <c r="F35" t="s">
        <v>24</v>
      </c>
      <c r="G35">
        <v>73.56</v>
      </c>
      <c r="H35" t="s">
        <v>24</v>
      </c>
      <c r="I35">
        <v>0.93</v>
      </c>
      <c r="L35" t="s">
        <v>178</v>
      </c>
    </row>
    <row r="36" spans="1:12" x14ac:dyDescent="0.25">
      <c r="A36">
        <v>2011</v>
      </c>
      <c r="B36" t="s">
        <v>163</v>
      </c>
      <c r="C36">
        <v>750</v>
      </c>
      <c r="D36" t="s">
        <v>23</v>
      </c>
      <c r="E36">
        <v>0.52</v>
      </c>
      <c r="F36" t="s">
        <v>24</v>
      </c>
      <c r="G36">
        <v>71.3</v>
      </c>
      <c r="H36" t="s">
        <v>24</v>
      </c>
      <c r="I36">
        <v>0.93100000000000005</v>
      </c>
      <c r="L36" t="s">
        <v>178</v>
      </c>
    </row>
    <row r="37" spans="1:12" x14ac:dyDescent="0.25">
      <c r="A37">
        <v>2011</v>
      </c>
      <c r="B37" t="s">
        <v>163</v>
      </c>
      <c r="C37">
        <v>800</v>
      </c>
      <c r="D37" t="s">
        <v>23</v>
      </c>
      <c r="E37">
        <v>0.54</v>
      </c>
      <c r="F37" t="s">
        <v>24</v>
      </c>
      <c r="G37">
        <v>66.7</v>
      </c>
      <c r="H37" t="s">
        <v>24</v>
      </c>
      <c r="I37">
        <v>0.93</v>
      </c>
      <c r="L37" t="s">
        <v>178</v>
      </c>
    </row>
    <row r="38" spans="1:12" x14ac:dyDescent="0.25">
      <c r="A38">
        <v>2011</v>
      </c>
      <c r="B38" t="s">
        <v>163</v>
      </c>
      <c r="C38">
        <v>500</v>
      </c>
      <c r="D38" t="s">
        <v>23</v>
      </c>
      <c r="E38">
        <v>1.49</v>
      </c>
      <c r="F38" t="s">
        <v>24</v>
      </c>
      <c r="J38">
        <v>8.2200000000000006</v>
      </c>
      <c r="K38" t="s">
        <v>24</v>
      </c>
      <c r="L38" t="s">
        <v>179</v>
      </c>
    </row>
    <row r="39" spans="1:12" x14ac:dyDescent="0.25">
      <c r="A39">
        <v>2011</v>
      </c>
      <c r="B39" t="s">
        <v>163</v>
      </c>
      <c r="C39">
        <v>550</v>
      </c>
      <c r="D39" t="s">
        <v>23</v>
      </c>
      <c r="E39">
        <v>1.43</v>
      </c>
      <c r="F39" t="s">
        <v>24</v>
      </c>
      <c r="J39">
        <v>5.55</v>
      </c>
      <c r="K39" t="s">
        <v>24</v>
      </c>
      <c r="L39" t="s">
        <v>179</v>
      </c>
    </row>
    <row r="40" spans="1:12" x14ac:dyDescent="0.25">
      <c r="A40">
        <v>2011</v>
      </c>
      <c r="B40" t="s">
        <v>163</v>
      </c>
      <c r="C40">
        <v>600</v>
      </c>
      <c r="D40" t="s">
        <v>23</v>
      </c>
      <c r="E40">
        <v>1.39</v>
      </c>
      <c r="F40" t="s">
        <v>24</v>
      </c>
      <c r="J40">
        <v>6.72</v>
      </c>
      <c r="K40" t="s">
        <v>24</v>
      </c>
      <c r="L40" t="s">
        <v>179</v>
      </c>
    </row>
    <row r="41" spans="1:12" x14ac:dyDescent="0.25">
      <c r="A41">
        <v>2011</v>
      </c>
      <c r="B41" t="s">
        <v>163</v>
      </c>
      <c r="C41">
        <v>650</v>
      </c>
      <c r="D41" t="s">
        <v>23</v>
      </c>
      <c r="E41">
        <v>0.41</v>
      </c>
      <c r="F41" t="s">
        <v>24</v>
      </c>
      <c r="J41">
        <v>6.11</v>
      </c>
      <c r="K41" t="s">
        <v>24</v>
      </c>
      <c r="L41" t="s">
        <v>179</v>
      </c>
    </row>
    <row r="42" spans="1:12" x14ac:dyDescent="0.25">
      <c r="A42">
        <v>2011</v>
      </c>
      <c r="B42" t="s">
        <v>163</v>
      </c>
      <c r="C42">
        <v>700</v>
      </c>
      <c r="D42" t="s">
        <v>23</v>
      </c>
      <c r="E42">
        <v>0.16</v>
      </c>
      <c r="F42" t="s">
        <v>24</v>
      </c>
      <c r="J42">
        <v>5.56</v>
      </c>
      <c r="K42" t="s">
        <v>24</v>
      </c>
      <c r="L42" t="s">
        <v>179</v>
      </c>
    </row>
    <row r="43" spans="1:12" x14ac:dyDescent="0.25">
      <c r="A43">
        <v>2011</v>
      </c>
      <c r="B43" t="s">
        <v>163</v>
      </c>
      <c r="C43">
        <v>750</v>
      </c>
      <c r="D43" t="s">
        <v>23</v>
      </c>
      <c r="E43">
        <v>0.11</v>
      </c>
      <c r="F43" t="s">
        <v>24</v>
      </c>
      <c r="J43">
        <v>5.1100000000000003</v>
      </c>
      <c r="K43" t="s">
        <v>24</v>
      </c>
      <c r="L43" t="s">
        <v>179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9" workbookViewId="0">
      <selection activeCell="L46" sqref="L46"/>
    </sheetView>
  </sheetViews>
  <sheetFormatPr defaultRowHeight="15" x14ac:dyDescent="0.25"/>
  <cols>
    <col min="1" max="1" width="11.42578125" customWidth="1"/>
    <col min="2" max="2" width="10" customWidth="1"/>
    <col min="3" max="3" width="11.85546875" customWidth="1"/>
    <col min="4" max="4" width="5" customWidth="1"/>
    <col min="5" max="5" width="10.7109375" customWidth="1"/>
    <col min="6" max="6" width="5.5703125" customWidth="1"/>
    <col min="7" max="7" width="12.85546875" customWidth="1"/>
    <col min="8" max="8" width="5.42578125" customWidth="1"/>
    <col min="9" max="9" width="10.140625" customWidth="1"/>
    <col min="10" max="10" width="17.85546875" customWidth="1"/>
    <col min="11" max="11" width="5.140625" customWidth="1"/>
    <col min="12" max="12" width="21.855468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 s="1">
        <v>1987</v>
      </c>
      <c r="B2" s="1" t="s">
        <v>27</v>
      </c>
      <c r="C2" s="1">
        <v>488</v>
      </c>
      <c r="D2" s="1" t="s">
        <v>23</v>
      </c>
      <c r="E2" s="1">
        <v>2.8</v>
      </c>
      <c r="F2" s="1" t="s">
        <v>24</v>
      </c>
      <c r="G2" s="1">
        <v>239</v>
      </c>
      <c r="H2" s="1" t="s">
        <v>24</v>
      </c>
      <c r="I2">
        <v>0.74</v>
      </c>
      <c r="L2" t="s">
        <v>105</v>
      </c>
    </row>
    <row r="3" spans="1:12" x14ac:dyDescent="0.25">
      <c r="A3" s="1">
        <v>1990</v>
      </c>
      <c r="B3" s="1" t="s">
        <v>31</v>
      </c>
      <c r="C3" s="1">
        <v>630</v>
      </c>
      <c r="D3" s="1" t="s">
        <v>23</v>
      </c>
      <c r="E3" s="1">
        <f>5/2</f>
        <v>2.5</v>
      </c>
      <c r="F3" s="1" t="s">
        <v>24</v>
      </c>
      <c r="L3" t="s">
        <v>106</v>
      </c>
    </row>
    <row r="4" spans="1:12" x14ac:dyDescent="0.25">
      <c r="A4" s="1">
        <v>1990</v>
      </c>
      <c r="B4" s="1" t="s">
        <v>31</v>
      </c>
      <c r="C4" s="1">
        <v>415</v>
      </c>
      <c r="D4" s="1" t="s">
        <v>23</v>
      </c>
      <c r="E4" s="1">
        <f>20/2</f>
        <v>10</v>
      </c>
      <c r="F4" s="1" t="s">
        <v>24</v>
      </c>
      <c r="L4" t="s">
        <v>107</v>
      </c>
    </row>
    <row r="5" spans="1:12" x14ac:dyDescent="0.25">
      <c r="A5" s="1">
        <v>1990</v>
      </c>
      <c r="B5" s="1" t="s">
        <v>31</v>
      </c>
      <c r="C5" s="1">
        <v>500</v>
      </c>
      <c r="D5" s="1" t="s">
        <v>23</v>
      </c>
      <c r="E5" s="1">
        <f>11.3/2</f>
        <v>5.65</v>
      </c>
      <c r="F5" s="1" t="s">
        <v>24</v>
      </c>
      <c r="L5" t="s">
        <v>108</v>
      </c>
    </row>
    <row r="6" spans="1:12" x14ac:dyDescent="0.25">
      <c r="A6" s="1">
        <v>1990</v>
      </c>
      <c r="B6" s="1" t="s">
        <v>31</v>
      </c>
      <c r="C6" s="3">
        <v>540</v>
      </c>
      <c r="D6" s="3" t="s">
        <v>23</v>
      </c>
      <c r="E6" s="1">
        <f>9/2</f>
        <v>4.5</v>
      </c>
      <c r="F6" s="1" t="s">
        <v>24</v>
      </c>
      <c r="L6" t="s">
        <v>109</v>
      </c>
    </row>
    <row r="7" spans="1:12" x14ac:dyDescent="0.25">
      <c r="A7" s="1">
        <v>1990</v>
      </c>
      <c r="B7" s="1" t="s">
        <v>31</v>
      </c>
      <c r="C7" s="1">
        <v>577</v>
      </c>
      <c r="D7" s="1" t="s">
        <v>23</v>
      </c>
      <c r="E7" s="1">
        <f>7.5/2</f>
        <v>3.75</v>
      </c>
      <c r="F7" s="1" t="s">
        <v>24</v>
      </c>
      <c r="L7" t="s">
        <v>110</v>
      </c>
    </row>
    <row r="8" spans="1:12" x14ac:dyDescent="0.25">
      <c r="A8" s="1">
        <v>1990</v>
      </c>
      <c r="B8" s="1" t="s">
        <v>31</v>
      </c>
      <c r="C8" s="1">
        <v>694</v>
      </c>
      <c r="D8" s="1" t="s">
        <v>23</v>
      </c>
      <c r="E8" s="1">
        <f>6.8/2</f>
        <v>3.4</v>
      </c>
      <c r="F8" s="1" t="s">
        <v>24</v>
      </c>
      <c r="L8" t="s">
        <v>111</v>
      </c>
    </row>
    <row r="9" spans="1:12" x14ac:dyDescent="0.25">
      <c r="A9" s="1">
        <v>1990</v>
      </c>
      <c r="B9" s="1" t="s">
        <v>31</v>
      </c>
      <c r="C9" s="1">
        <v>1060</v>
      </c>
      <c r="D9" s="1" t="s">
        <v>23</v>
      </c>
      <c r="E9" s="1">
        <f>6/2</f>
        <v>3</v>
      </c>
      <c r="F9" s="1" t="s">
        <v>24</v>
      </c>
      <c r="L9" t="s">
        <v>112</v>
      </c>
    </row>
    <row r="10" spans="1:12" x14ac:dyDescent="0.25">
      <c r="A10" s="1">
        <v>1990</v>
      </c>
      <c r="B10" s="1" t="s">
        <v>31</v>
      </c>
      <c r="C10" s="1">
        <v>630</v>
      </c>
      <c r="D10" s="1" t="s">
        <v>23</v>
      </c>
      <c r="E10" s="1">
        <f>20/2</f>
        <v>10</v>
      </c>
      <c r="F10" s="1" t="s">
        <v>24</v>
      </c>
      <c r="L10" t="s">
        <v>113</v>
      </c>
    </row>
    <row r="11" spans="1:12" x14ac:dyDescent="0.25">
      <c r="A11" s="1">
        <v>1990</v>
      </c>
      <c r="B11" s="1" t="s">
        <v>31</v>
      </c>
      <c r="C11" s="1">
        <v>415</v>
      </c>
      <c r="D11" s="1" t="s">
        <v>23</v>
      </c>
      <c r="E11">
        <f>51.7/2</f>
        <v>25.85</v>
      </c>
      <c r="F11" s="1" t="s">
        <v>24</v>
      </c>
      <c r="L11" t="s">
        <v>114</v>
      </c>
    </row>
    <row r="12" spans="1:12" x14ac:dyDescent="0.25">
      <c r="A12" s="1">
        <v>1990</v>
      </c>
      <c r="B12" s="1" t="s">
        <v>31</v>
      </c>
      <c r="C12" s="1">
        <v>500</v>
      </c>
      <c r="D12" s="1" t="s">
        <v>23</v>
      </c>
      <c r="E12">
        <f>36.7/2</f>
        <v>18.350000000000001</v>
      </c>
      <c r="F12" s="1" t="s">
        <v>24</v>
      </c>
      <c r="L12" t="s">
        <v>115</v>
      </c>
    </row>
    <row r="13" spans="1:12" x14ac:dyDescent="0.25">
      <c r="A13" s="1">
        <v>1990</v>
      </c>
      <c r="B13" s="1" t="s">
        <v>31</v>
      </c>
      <c r="C13" s="3">
        <v>540</v>
      </c>
      <c r="D13" s="3" t="s">
        <v>23</v>
      </c>
      <c r="E13">
        <f>33.3/2</f>
        <v>16.649999999999999</v>
      </c>
      <c r="F13" s="1" t="s">
        <v>24</v>
      </c>
      <c r="L13" t="s">
        <v>116</v>
      </c>
    </row>
    <row r="14" spans="1:12" x14ac:dyDescent="0.25">
      <c r="A14" s="1">
        <v>1990</v>
      </c>
      <c r="B14" s="1" t="s">
        <v>31</v>
      </c>
      <c r="C14" s="1">
        <v>577</v>
      </c>
      <c r="D14" s="1" t="s">
        <v>23</v>
      </c>
      <c r="E14">
        <f>30/2</f>
        <v>15</v>
      </c>
      <c r="F14" s="1" t="s">
        <v>24</v>
      </c>
      <c r="L14" t="s">
        <v>117</v>
      </c>
    </row>
    <row r="15" spans="1:12" x14ac:dyDescent="0.25">
      <c r="A15" s="1">
        <v>1990</v>
      </c>
      <c r="B15" s="1" t="s">
        <v>31</v>
      </c>
      <c r="C15" s="1">
        <v>694</v>
      </c>
      <c r="D15" s="1" t="s">
        <v>23</v>
      </c>
      <c r="E15">
        <f>26.7/2</f>
        <v>13.35</v>
      </c>
      <c r="F15" s="1" t="s">
        <v>24</v>
      </c>
      <c r="L15" t="s">
        <v>118</v>
      </c>
    </row>
    <row r="16" spans="1:12" x14ac:dyDescent="0.25">
      <c r="A16" s="1">
        <v>1990</v>
      </c>
      <c r="B16" s="1" t="s">
        <v>31</v>
      </c>
      <c r="C16" s="1">
        <v>1060</v>
      </c>
      <c r="D16" s="1" t="s">
        <v>23</v>
      </c>
      <c r="E16">
        <f>20/2</f>
        <v>10</v>
      </c>
      <c r="F16" s="1" t="s">
        <v>24</v>
      </c>
      <c r="L16" t="s">
        <v>119</v>
      </c>
    </row>
    <row r="17" spans="1:12" x14ac:dyDescent="0.25">
      <c r="A17" s="1">
        <v>1990</v>
      </c>
      <c r="B17" s="1" t="s">
        <v>31</v>
      </c>
      <c r="C17" s="1">
        <v>630</v>
      </c>
      <c r="D17" s="1" t="s">
        <v>23</v>
      </c>
      <c r="E17">
        <v>1.8</v>
      </c>
      <c r="F17" s="1" t="s">
        <v>24</v>
      </c>
      <c r="L17" t="s">
        <v>120</v>
      </c>
    </row>
    <row r="18" spans="1:12" x14ac:dyDescent="0.25">
      <c r="A18" s="1">
        <v>1990</v>
      </c>
      <c r="B18" s="1" t="s">
        <v>31</v>
      </c>
      <c r="C18" s="1">
        <v>633</v>
      </c>
      <c r="D18" s="1" t="s">
        <v>23</v>
      </c>
      <c r="E18">
        <v>2.7</v>
      </c>
      <c r="F18" s="1" t="s">
        <v>24</v>
      </c>
      <c r="G18">
        <v>187</v>
      </c>
      <c r="H18" t="s">
        <v>24</v>
      </c>
      <c r="I18">
        <v>0.81</v>
      </c>
      <c r="J18">
        <v>35.5</v>
      </c>
      <c r="K18" t="s">
        <v>24</v>
      </c>
      <c r="L18" t="s">
        <v>121</v>
      </c>
    </row>
    <row r="19" spans="1:12" x14ac:dyDescent="0.25">
      <c r="A19" s="1">
        <v>1990</v>
      </c>
      <c r="B19" s="1" t="s">
        <v>31</v>
      </c>
      <c r="C19" s="1">
        <v>635</v>
      </c>
      <c r="D19" s="1" t="s">
        <v>23</v>
      </c>
      <c r="E19">
        <v>1.8</v>
      </c>
      <c r="F19" s="1" t="s">
        <v>24</v>
      </c>
      <c r="G19">
        <v>244</v>
      </c>
      <c r="H19" t="s">
        <v>24</v>
      </c>
      <c r="L19" t="s">
        <v>122</v>
      </c>
    </row>
    <row r="20" spans="1:12" x14ac:dyDescent="0.25">
      <c r="A20" s="1">
        <v>1990</v>
      </c>
      <c r="B20" s="1" t="s">
        <v>31</v>
      </c>
      <c r="C20" s="1">
        <v>193</v>
      </c>
      <c r="D20" s="1" t="s">
        <v>23</v>
      </c>
      <c r="E20">
        <v>6000</v>
      </c>
      <c r="F20" s="1" t="s">
        <v>24</v>
      </c>
      <c r="L20" t="s">
        <v>123</v>
      </c>
    </row>
    <row r="21" spans="1:12" x14ac:dyDescent="0.25">
      <c r="A21">
        <v>2005</v>
      </c>
      <c r="B21" t="s">
        <v>126</v>
      </c>
      <c r="C21">
        <v>590</v>
      </c>
      <c r="D21" t="s">
        <v>23</v>
      </c>
      <c r="J21">
        <f>2850*POWER(590,-1.1)</f>
        <v>2.5521585279935342</v>
      </c>
      <c r="K21" t="s">
        <v>42</v>
      </c>
      <c r="L21" t="s">
        <v>135</v>
      </c>
    </row>
    <row r="22" spans="1:12" x14ac:dyDescent="0.25">
      <c r="A22">
        <v>2005</v>
      </c>
      <c r="B22" t="s">
        <v>126</v>
      </c>
      <c r="C22">
        <v>610</v>
      </c>
      <c r="D22" t="s">
        <v>23</v>
      </c>
      <c r="J22">
        <f>2850*POWER(610,-1.1)</f>
        <v>2.4602658676344107</v>
      </c>
      <c r="K22" t="s">
        <v>42</v>
      </c>
      <c r="L22" t="s">
        <v>135</v>
      </c>
    </row>
    <row r="23" spans="1:12" x14ac:dyDescent="0.25">
      <c r="A23">
        <v>2005</v>
      </c>
      <c r="B23" t="s">
        <v>126</v>
      </c>
      <c r="C23">
        <v>630</v>
      </c>
      <c r="D23" t="s">
        <v>23</v>
      </c>
      <c r="J23">
        <f>2850*POWER(630,-1.1)</f>
        <v>2.3744895116940583</v>
      </c>
      <c r="K23" t="s">
        <v>42</v>
      </c>
      <c r="L23" t="s">
        <v>135</v>
      </c>
    </row>
    <row r="24" spans="1:12" x14ac:dyDescent="0.25">
      <c r="A24">
        <v>2005</v>
      </c>
      <c r="B24" t="s">
        <v>126</v>
      </c>
      <c r="C24">
        <v>650</v>
      </c>
      <c r="D24" t="s">
        <v>23</v>
      </c>
      <c r="J24">
        <f>2850*POWER(650,-1.1)</f>
        <v>2.2942469747283702</v>
      </c>
      <c r="K24" t="s">
        <v>42</v>
      </c>
      <c r="L24" t="s">
        <v>135</v>
      </c>
    </row>
    <row r="25" spans="1:12" x14ac:dyDescent="0.25">
      <c r="A25">
        <v>2011</v>
      </c>
      <c r="B25" t="s">
        <v>141</v>
      </c>
      <c r="C25">
        <v>630</v>
      </c>
      <c r="D25" t="s">
        <v>23</v>
      </c>
      <c r="E25">
        <f>(0.05+1.11)/2</f>
        <v>0.58000000000000007</v>
      </c>
      <c r="F25" t="s">
        <v>24</v>
      </c>
      <c r="J25">
        <f>(2.26+20.95)/2</f>
        <v>11.605</v>
      </c>
      <c r="K25" t="s">
        <v>24</v>
      </c>
      <c r="L25" t="s">
        <v>158</v>
      </c>
    </row>
    <row r="26" spans="1:12" x14ac:dyDescent="0.25">
      <c r="A26">
        <v>2011</v>
      </c>
      <c r="B26" t="s">
        <v>141</v>
      </c>
      <c r="C26">
        <v>661</v>
      </c>
      <c r="D26" t="s">
        <v>23</v>
      </c>
      <c r="E26">
        <f>(0.51+0.64)/2</f>
        <v>0.57499999999999996</v>
      </c>
      <c r="F26" t="s">
        <v>24</v>
      </c>
      <c r="J26">
        <f>(2.24+5.77)/2</f>
        <v>4.0049999999999999</v>
      </c>
      <c r="K26" t="s">
        <v>24</v>
      </c>
      <c r="L26" t="s">
        <v>159</v>
      </c>
    </row>
    <row r="27" spans="1:12" x14ac:dyDescent="0.25">
      <c r="A27">
        <v>2011</v>
      </c>
      <c r="B27" t="s">
        <v>141</v>
      </c>
      <c r="C27">
        <v>800</v>
      </c>
      <c r="D27" t="s">
        <v>23</v>
      </c>
      <c r="E27">
        <f>(0.16+0.23)/2</f>
        <v>0.19500000000000001</v>
      </c>
      <c r="F27" t="s">
        <v>24</v>
      </c>
      <c r="J27">
        <f>(6.8+9.84)/2</f>
        <v>8.32</v>
      </c>
      <c r="K27" t="s">
        <v>24</v>
      </c>
      <c r="L27" t="s">
        <v>160</v>
      </c>
    </row>
    <row r="28" spans="1:12" x14ac:dyDescent="0.25">
      <c r="A28">
        <v>2011</v>
      </c>
      <c r="B28" t="s">
        <v>163</v>
      </c>
      <c r="C28">
        <v>400</v>
      </c>
      <c r="D28" t="s">
        <v>23</v>
      </c>
      <c r="E28">
        <v>3.76</v>
      </c>
      <c r="F28" t="s">
        <v>24</v>
      </c>
      <c r="J28">
        <v>71.8</v>
      </c>
      <c r="K28" t="s">
        <v>24</v>
      </c>
      <c r="L28" t="s">
        <v>164</v>
      </c>
    </row>
    <row r="29" spans="1:12" x14ac:dyDescent="0.25">
      <c r="A29">
        <v>2011</v>
      </c>
      <c r="B29" t="s">
        <v>163</v>
      </c>
      <c r="C29">
        <v>500</v>
      </c>
      <c r="D29" t="s">
        <v>23</v>
      </c>
      <c r="E29">
        <v>1.19</v>
      </c>
      <c r="F29" t="s">
        <v>24</v>
      </c>
      <c r="J29">
        <v>32.5</v>
      </c>
      <c r="K29" t="s">
        <v>24</v>
      </c>
      <c r="L29" t="s">
        <v>164</v>
      </c>
    </row>
    <row r="30" spans="1:12" x14ac:dyDescent="0.25">
      <c r="A30">
        <v>2011</v>
      </c>
      <c r="B30" t="s">
        <v>163</v>
      </c>
      <c r="C30">
        <v>600</v>
      </c>
      <c r="D30" t="s">
        <v>23</v>
      </c>
      <c r="E30">
        <v>0.69</v>
      </c>
      <c r="F30" t="s">
        <v>24</v>
      </c>
      <c r="J30">
        <v>21.8</v>
      </c>
      <c r="K30" t="s">
        <v>24</v>
      </c>
      <c r="L30" t="s">
        <v>164</v>
      </c>
    </row>
    <row r="31" spans="1:12" x14ac:dyDescent="0.25">
      <c r="A31">
        <v>2011</v>
      </c>
      <c r="B31" t="s">
        <v>163</v>
      </c>
      <c r="C31">
        <v>700</v>
      </c>
      <c r="D31" t="s">
        <v>23</v>
      </c>
      <c r="E31">
        <v>0.48</v>
      </c>
      <c r="F31" t="s">
        <v>24</v>
      </c>
      <c r="J31">
        <v>16.7</v>
      </c>
      <c r="K31" t="s">
        <v>24</v>
      </c>
      <c r="L31" t="s">
        <v>164</v>
      </c>
    </row>
    <row r="32" spans="1:12" x14ac:dyDescent="0.25">
      <c r="A32">
        <v>2011</v>
      </c>
      <c r="B32" t="s">
        <v>163</v>
      </c>
      <c r="C32">
        <v>400</v>
      </c>
      <c r="D32" t="s">
        <v>23</v>
      </c>
      <c r="E32">
        <v>13.48</v>
      </c>
      <c r="F32" t="s">
        <v>24</v>
      </c>
      <c r="J32">
        <v>34.28</v>
      </c>
      <c r="K32" t="s">
        <v>24</v>
      </c>
      <c r="L32" t="s">
        <v>165</v>
      </c>
    </row>
    <row r="33" spans="1:12" x14ac:dyDescent="0.25">
      <c r="A33">
        <v>2011</v>
      </c>
      <c r="B33" t="s">
        <v>163</v>
      </c>
      <c r="C33">
        <v>500</v>
      </c>
      <c r="D33" t="s">
        <v>23</v>
      </c>
      <c r="E33">
        <v>6.19</v>
      </c>
      <c r="F33" t="s">
        <v>24</v>
      </c>
      <c r="J33">
        <v>25.05</v>
      </c>
      <c r="K33" t="s">
        <v>24</v>
      </c>
      <c r="L33" t="s">
        <v>165</v>
      </c>
    </row>
    <row r="34" spans="1:12" x14ac:dyDescent="0.25">
      <c r="A34">
        <v>2011</v>
      </c>
      <c r="B34" t="s">
        <v>163</v>
      </c>
      <c r="C34">
        <v>600</v>
      </c>
      <c r="D34" t="s">
        <v>23</v>
      </c>
      <c r="E34">
        <v>3.77</v>
      </c>
      <c r="F34" t="s">
        <v>24</v>
      </c>
      <c r="J34">
        <v>18.670000000000002</v>
      </c>
      <c r="K34" t="s">
        <v>24</v>
      </c>
      <c r="L34" t="s">
        <v>165</v>
      </c>
    </row>
    <row r="35" spans="1:12" x14ac:dyDescent="0.25">
      <c r="A35">
        <v>2011</v>
      </c>
      <c r="B35" t="s">
        <v>163</v>
      </c>
      <c r="C35">
        <v>700</v>
      </c>
      <c r="D35" t="s">
        <v>23</v>
      </c>
      <c r="E35">
        <v>2.41</v>
      </c>
      <c r="F35" t="s">
        <v>24</v>
      </c>
      <c r="J35">
        <v>14.82</v>
      </c>
      <c r="K35" t="s">
        <v>24</v>
      </c>
      <c r="L35" t="s">
        <v>165</v>
      </c>
    </row>
    <row r="36" spans="1:12" x14ac:dyDescent="0.25">
      <c r="A36">
        <v>2011</v>
      </c>
      <c r="B36" t="s">
        <v>163</v>
      </c>
      <c r="C36">
        <v>630</v>
      </c>
      <c r="D36" t="s">
        <v>23</v>
      </c>
      <c r="E36">
        <v>0.94</v>
      </c>
      <c r="F36" t="s">
        <v>24</v>
      </c>
      <c r="J36">
        <v>40</v>
      </c>
      <c r="K36" t="s">
        <v>24</v>
      </c>
      <c r="L36" t="s">
        <v>166</v>
      </c>
    </row>
    <row r="37" spans="1:12" x14ac:dyDescent="0.25">
      <c r="A37">
        <v>2011</v>
      </c>
      <c r="B37" t="s">
        <v>163</v>
      </c>
      <c r="C37">
        <v>632.79999999999995</v>
      </c>
      <c r="D37" t="s">
        <v>23</v>
      </c>
      <c r="E37">
        <v>0.33</v>
      </c>
      <c r="F37" t="s">
        <v>24</v>
      </c>
      <c r="J37">
        <v>31.6</v>
      </c>
      <c r="K37" t="s">
        <v>24</v>
      </c>
      <c r="L37" t="s">
        <v>166</v>
      </c>
    </row>
    <row r="38" spans="1:12" x14ac:dyDescent="0.25">
      <c r="A38">
        <v>2011</v>
      </c>
      <c r="B38" t="s">
        <v>163</v>
      </c>
      <c r="C38">
        <v>790</v>
      </c>
      <c r="D38" t="s">
        <v>23</v>
      </c>
      <c r="E38">
        <v>0.7</v>
      </c>
      <c r="F38" t="s">
        <v>24</v>
      </c>
      <c r="J38">
        <v>18.399999999999999</v>
      </c>
      <c r="K38" t="s">
        <v>24</v>
      </c>
      <c r="L38" t="s">
        <v>166</v>
      </c>
    </row>
    <row r="39" spans="1:12" x14ac:dyDescent="0.25">
      <c r="A39">
        <v>2011</v>
      </c>
      <c r="B39" t="s">
        <v>163</v>
      </c>
      <c r="C39">
        <v>632.79999999999995</v>
      </c>
      <c r="D39" t="s">
        <v>23</v>
      </c>
      <c r="E39">
        <v>1</v>
      </c>
      <c r="F39" t="s">
        <v>24</v>
      </c>
      <c r="J39">
        <v>22.7</v>
      </c>
      <c r="K39" t="s">
        <v>24</v>
      </c>
      <c r="L39" t="s">
        <v>167</v>
      </c>
    </row>
    <row r="40" spans="1:12" x14ac:dyDescent="0.25">
      <c r="A40">
        <v>2011</v>
      </c>
      <c r="B40" t="s">
        <v>163</v>
      </c>
      <c r="C40">
        <v>790</v>
      </c>
      <c r="D40" t="s">
        <v>23</v>
      </c>
      <c r="E40">
        <v>2.4</v>
      </c>
      <c r="F40" t="s">
        <v>24</v>
      </c>
      <c r="J40">
        <v>19.3</v>
      </c>
      <c r="K40" t="s">
        <v>24</v>
      </c>
      <c r="L40" t="s">
        <v>167</v>
      </c>
    </row>
    <row r="41" spans="1:12" x14ac:dyDescent="0.25">
      <c r="A41">
        <v>2011</v>
      </c>
      <c r="B41" t="s">
        <v>163</v>
      </c>
      <c r="C41">
        <v>850</v>
      </c>
      <c r="D41" t="s">
        <v>23</v>
      </c>
      <c r="E41">
        <v>1.6</v>
      </c>
      <c r="F41" t="s">
        <v>24</v>
      </c>
      <c r="J41">
        <v>14.3</v>
      </c>
      <c r="K41" t="s">
        <v>24</v>
      </c>
      <c r="L41" t="s">
        <v>167</v>
      </c>
    </row>
    <row r="42" spans="1:12" x14ac:dyDescent="0.25">
      <c r="A42">
        <v>2011</v>
      </c>
      <c r="B42" t="s">
        <v>163</v>
      </c>
      <c r="C42" s="7" t="s">
        <v>169</v>
      </c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5">
      <c r="A43">
        <v>2011</v>
      </c>
      <c r="B43" t="s">
        <v>163</v>
      </c>
      <c r="C43">
        <v>632.79999999999995</v>
      </c>
      <c r="D43" t="s">
        <v>23</v>
      </c>
      <c r="E43">
        <v>0.89</v>
      </c>
      <c r="F43" t="s">
        <v>24</v>
      </c>
      <c r="G43">
        <v>289</v>
      </c>
      <c r="H43" t="s">
        <v>24</v>
      </c>
      <c r="I43">
        <v>0.92600000000000005</v>
      </c>
      <c r="J43">
        <v>21.1</v>
      </c>
      <c r="K43" t="s">
        <v>24</v>
      </c>
      <c r="L43" t="s">
        <v>168</v>
      </c>
    </row>
    <row r="44" spans="1:12" x14ac:dyDescent="0.25">
      <c r="A44">
        <v>2011</v>
      </c>
      <c r="B44" t="s">
        <v>163</v>
      </c>
      <c r="C44">
        <v>790</v>
      </c>
      <c r="D44" t="s">
        <v>23</v>
      </c>
      <c r="E44">
        <v>1.8</v>
      </c>
      <c r="F44" t="s">
        <v>24</v>
      </c>
      <c r="G44">
        <v>254</v>
      </c>
      <c r="H44" t="s">
        <v>24</v>
      </c>
      <c r="I44">
        <v>0.94499999999999995</v>
      </c>
      <c r="J44">
        <v>13.9</v>
      </c>
      <c r="K44" t="s">
        <v>24</v>
      </c>
      <c r="L44" t="s">
        <v>168</v>
      </c>
    </row>
    <row r="45" spans="1:12" x14ac:dyDescent="0.25">
      <c r="A45">
        <v>2011</v>
      </c>
      <c r="B45" t="s">
        <v>163</v>
      </c>
      <c r="C45">
        <v>850</v>
      </c>
      <c r="D45" t="s">
        <v>23</v>
      </c>
      <c r="E45">
        <v>0.33</v>
      </c>
      <c r="F45" t="s">
        <v>24</v>
      </c>
      <c r="G45">
        <v>285</v>
      </c>
      <c r="H45" t="s">
        <v>24</v>
      </c>
      <c r="I45">
        <v>0.96799999999999997</v>
      </c>
      <c r="J45">
        <v>9</v>
      </c>
      <c r="K45" t="s">
        <v>24</v>
      </c>
      <c r="L45" t="s">
        <v>168</v>
      </c>
    </row>
    <row r="46" spans="1:12" x14ac:dyDescent="0.25">
      <c r="A46">
        <v>2011</v>
      </c>
      <c r="B46" t="s">
        <v>163</v>
      </c>
      <c r="C46">
        <v>325</v>
      </c>
      <c r="D46" t="s">
        <v>23</v>
      </c>
      <c r="E46">
        <v>5.6</v>
      </c>
      <c r="F46" t="s">
        <v>24</v>
      </c>
      <c r="G46">
        <v>220</v>
      </c>
      <c r="H46" t="s">
        <v>24</v>
      </c>
      <c r="I46">
        <v>0.38</v>
      </c>
      <c r="L46" t="s">
        <v>170</v>
      </c>
    </row>
    <row r="47" spans="1:12" x14ac:dyDescent="0.25">
      <c r="A47">
        <v>2011</v>
      </c>
      <c r="B47" t="s">
        <v>163</v>
      </c>
      <c r="C47">
        <v>442</v>
      </c>
      <c r="D47" t="s">
        <v>23</v>
      </c>
      <c r="E47">
        <v>1.9</v>
      </c>
      <c r="F47" t="s">
        <v>24</v>
      </c>
      <c r="G47">
        <v>89</v>
      </c>
      <c r="H47" t="s">
        <v>24</v>
      </c>
      <c r="I47">
        <v>0.36</v>
      </c>
    </row>
    <row r="48" spans="1:12" x14ac:dyDescent="0.25">
      <c r="A48">
        <v>2011</v>
      </c>
      <c r="B48" t="s">
        <v>163</v>
      </c>
      <c r="C48">
        <v>532</v>
      </c>
      <c r="D48" t="s">
        <v>23</v>
      </c>
      <c r="E48">
        <v>1.4</v>
      </c>
      <c r="F48" t="s">
        <v>24</v>
      </c>
      <c r="G48">
        <v>69</v>
      </c>
      <c r="H48" t="s">
        <v>24</v>
      </c>
      <c r="I48">
        <v>0.64</v>
      </c>
    </row>
    <row r="49" spans="1:9" x14ac:dyDescent="0.25">
      <c r="A49">
        <v>2011</v>
      </c>
      <c r="B49" t="s">
        <v>163</v>
      </c>
      <c r="C49">
        <v>633</v>
      </c>
      <c r="D49" t="s">
        <v>23</v>
      </c>
      <c r="E49">
        <v>0.7</v>
      </c>
      <c r="F49" t="s">
        <v>24</v>
      </c>
      <c r="G49">
        <v>58</v>
      </c>
      <c r="H49" t="s">
        <v>24</v>
      </c>
      <c r="I49">
        <v>0.72</v>
      </c>
    </row>
    <row r="50" spans="1:9" x14ac:dyDescent="0.25">
      <c r="A50">
        <v>2011</v>
      </c>
      <c r="B50" t="s">
        <v>163</v>
      </c>
      <c r="C50">
        <v>850</v>
      </c>
      <c r="D50" t="s">
        <v>23</v>
      </c>
      <c r="E50">
        <v>1.6</v>
      </c>
      <c r="F50" t="s">
        <v>24</v>
      </c>
      <c r="G50">
        <v>90</v>
      </c>
      <c r="H50" t="s">
        <v>24</v>
      </c>
      <c r="I50">
        <v>0.88</v>
      </c>
    </row>
  </sheetData>
  <sortState ref="A1:B13">
    <sortCondition ref="A1"/>
  </sortState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7"/>
  <sheetViews>
    <sheetView workbookViewId="0">
      <selection sqref="A1:L10"/>
    </sheetView>
  </sheetViews>
  <sheetFormatPr defaultRowHeight="15" x14ac:dyDescent="0.25"/>
  <cols>
    <col min="1" max="1" width="11.42578125" customWidth="1"/>
    <col min="2" max="2" width="8.28515625" customWidth="1"/>
    <col min="3" max="3" width="11.85546875" customWidth="1"/>
    <col min="4" max="4" width="5" customWidth="1"/>
    <col min="5" max="5" width="10.7109375" customWidth="1"/>
    <col min="6" max="6" width="5.5703125" customWidth="1"/>
    <col min="7" max="7" width="12.85546875" customWidth="1"/>
    <col min="8" max="8" width="5.42578125" customWidth="1"/>
    <col min="9" max="9" width="10.140625" customWidth="1"/>
    <col min="10" max="10" width="17.85546875" customWidth="1"/>
    <col min="11" max="11" width="5.140625" customWidth="1"/>
    <col min="12" max="12" width="21.855468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2005</v>
      </c>
      <c r="B2" t="s">
        <v>126</v>
      </c>
      <c r="C2">
        <v>590</v>
      </c>
      <c r="D2" t="s">
        <v>23</v>
      </c>
      <c r="E2">
        <f>0.01*(0.7*151.7+0.3*77.13)+0.8*0.001351</f>
        <v>1.2943707999999998</v>
      </c>
      <c r="F2" t="s">
        <v>24</v>
      </c>
      <c r="J2">
        <f>792*POWER(590,-0.97)</f>
        <v>1.6255440033029429</v>
      </c>
      <c r="K2" t="s">
        <v>42</v>
      </c>
      <c r="L2" t="s">
        <v>136</v>
      </c>
    </row>
    <row r="3" spans="1:12" x14ac:dyDescent="0.25">
      <c r="A3">
        <v>2005</v>
      </c>
      <c r="B3" t="s">
        <v>126</v>
      </c>
      <c r="C3">
        <v>610</v>
      </c>
      <c r="D3" t="s">
        <v>23</v>
      </c>
      <c r="E3">
        <f>0.01*(0.7*50.58+0.3*8.07)+0.8*0.002644</f>
        <v>0.38038519999999998</v>
      </c>
      <c r="F3" t="s">
        <v>24</v>
      </c>
      <c r="J3">
        <f>792*POWER(610,-0.97)</f>
        <v>1.5738206582173564</v>
      </c>
      <c r="K3" t="s">
        <v>42</v>
      </c>
      <c r="L3" t="s">
        <v>136</v>
      </c>
    </row>
    <row r="4" spans="1:12" x14ac:dyDescent="0.25">
      <c r="A4">
        <v>2005</v>
      </c>
      <c r="B4" t="s">
        <v>126</v>
      </c>
      <c r="C4">
        <v>630</v>
      </c>
      <c r="D4" t="s">
        <v>23</v>
      </c>
      <c r="E4">
        <f>0.01*(0.7*27.58+0.3*3.27)+0.8*0.002916</f>
        <v>0.20520279999999999</v>
      </c>
      <c r="F4" t="s">
        <v>24</v>
      </c>
      <c r="J4">
        <f>792*POWER(630,-0.97)</f>
        <v>1.5253336408421325</v>
      </c>
      <c r="K4" t="s">
        <v>42</v>
      </c>
      <c r="L4" t="s">
        <v>136</v>
      </c>
    </row>
    <row r="5" spans="1:12" x14ac:dyDescent="0.25">
      <c r="A5">
        <v>2005</v>
      </c>
      <c r="B5" t="s">
        <v>126</v>
      </c>
      <c r="C5">
        <v>650</v>
      </c>
      <c r="D5" t="s">
        <v>23</v>
      </c>
      <c r="E5">
        <f>0.01*(0.7*20.08+0.3*1.97)+0.8*0.0034</f>
        <v>0.14918999999999996</v>
      </c>
      <c r="F5" t="s">
        <v>24</v>
      </c>
      <c r="J5">
        <f>792*POWER(650,-0.97)</f>
        <v>1.4797870611324451</v>
      </c>
      <c r="K5" t="s">
        <v>42</v>
      </c>
      <c r="L5" t="s">
        <v>136</v>
      </c>
    </row>
    <row r="6" spans="1:12" x14ac:dyDescent="0.25">
      <c r="A6">
        <v>2006</v>
      </c>
      <c r="B6" t="s">
        <v>138</v>
      </c>
      <c r="C6">
        <v>675</v>
      </c>
      <c r="D6" t="s">
        <v>23</v>
      </c>
      <c r="E6">
        <v>0.21</v>
      </c>
      <c r="F6" t="s">
        <v>42</v>
      </c>
      <c r="J6">
        <v>1.7</v>
      </c>
      <c r="K6" t="s">
        <v>42</v>
      </c>
      <c r="L6" t="s">
        <v>139</v>
      </c>
    </row>
    <row r="7" spans="1:12" x14ac:dyDescent="0.25">
      <c r="A7" s="1">
        <v>2011</v>
      </c>
      <c r="B7" s="1" t="s">
        <v>192</v>
      </c>
      <c r="C7" s="1">
        <v>542</v>
      </c>
      <c r="D7" s="1" t="s">
        <v>23</v>
      </c>
      <c r="E7" s="1">
        <v>3.6</v>
      </c>
      <c r="F7" s="1" t="s">
        <v>24</v>
      </c>
      <c r="J7">
        <v>14</v>
      </c>
      <c r="K7" t="s">
        <v>24</v>
      </c>
      <c r="L7" t="s">
        <v>193</v>
      </c>
    </row>
    <row r="8" spans="1:12" x14ac:dyDescent="0.25">
      <c r="A8" s="1">
        <v>2011</v>
      </c>
      <c r="B8" s="1" t="s">
        <v>192</v>
      </c>
      <c r="C8" s="1">
        <v>600</v>
      </c>
      <c r="D8" s="1" t="s">
        <v>23</v>
      </c>
      <c r="E8" s="1">
        <v>1</v>
      </c>
      <c r="F8" s="1" t="s">
        <v>24</v>
      </c>
      <c r="J8">
        <v>13</v>
      </c>
      <c r="K8" t="s">
        <v>24</v>
      </c>
      <c r="L8" t="s">
        <v>193</v>
      </c>
    </row>
    <row r="9" spans="1:12" x14ac:dyDescent="0.25">
      <c r="A9" s="1">
        <v>2011</v>
      </c>
      <c r="B9" s="1" t="s">
        <v>192</v>
      </c>
      <c r="C9" s="1">
        <v>650</v>
      </c>
      <c r="D9" s="1" t="s">
        <v>23</v>
      </c>
      <c r="E9" s="1">
        <v>0.6</v>
      </c>
      <c r="F9" s="1" t="s">
        <v>24</v>
      </c>
      <c r="J9">
        <v>12</v>
      </c>
      <c r="K9" t="s">
        <v>24</v>
      </c>
      <c r="L9" t="s">
        <v>193</v>
      </c>
    </row>
    <row r="10" spans="1:12" x14ac:dyDescent="0.25">
      <c r="A10" s="1">
        <v>2006</v>
      </c>
      <c r="B10" s="1" t="s">
        <v>138</v>
      </c>
      <c r="C10" s="1">
        <v>650</v>
      </c>
      <c r="D10" s="1" t="s">
        <v>23</v>
      </c>
      <c r="E10" s="1">
        <v>0.21</v>
      </c>
      <c r="F10" s="1" t="s">
        <v>42</v>
      </c>
      <c r="J10">
        <v>1.7</v>
      </c>
      <c r="K10" t="s">
        <v>42</v>
      </c>
      <c r="L10" t="s">
        <v>195</v>
      </c>
    </row>
    <row r="11" spans="1:12" x14ac:dyDescent="0.25">
      <c r="A11" s="1"/>
      <c r="B11" s="1"/>
      <c r="C11" s="1"/>
      <c r="D11" s="1"/>
      <c r="F11" s="1"/>
    </row>
    <row r="12" spans="1:12" x14ac:dyDescent="0.25">
      <c r="A12" s="1"/>
      <c r="B12" s="1"/>
      <c r="C12" s="1"/>
      <c r="D12" s="1"/>
      <c r="F12" s="1"/>
    </row>
    <row r="13" spans="1:12" x14ac:dyDescent="0.25">
      <c r="A13" s="1"/>
      <c r="B13" s="1"/>
      <c r="C13" s="3"/>
      <c r="D13" s="3"/>
      <c r="F13" s="1"/>
    </row>
    <row r="14" spans="1:12" x14ac:dyDescent="0.25">
      <c r="A14" s="1"/>
      <c r="B14" s="1"/>
      <c r="C14" s="1"/>
      <c r="D14" s="1"/>
      <c r="F14" s="1"/>
    </row>
    <row r="15" spans="1:12" x14ac:dyDescent="0.25">
      <c r="A15" s="1"/>
      <c r="B15" s="1"/>
      <c r="C15" s="1"/>
      <c r="D15" s="1"/>
      <c r="F15" s="1"/>
    </row>
    <row r="16" spans="1:12" x14ac:dyDescent="0.25">
      <c r="A16" s="1"/>
      <c r="B16" s="1"/>
      <c r="C16" s="1"/>
      <c r="D16" s="1"/>
      <c r="F16" s="1"/>
    </row>
    <row r="17" spans="1:1" x14ac:dyDescent="0.25">
      <c r="A17" s="1"/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18" sqref="A18"/>
    </sheetView>
  </sheetViews>
  <sheetFormatPr defaultRowHeight="15" x14ac:dyDescent="0.25"/>
  <cols>
    <col min="1" max="1" width="11.42578125" customWidth="1"/>
    <col min="2" max="2" width="8.28515625" customWidth="1"/>
    <col min="3" max="3" width="11.85546875" customWidth="1"/>
    <col min="4" max="4" width="5" customWidth="1"/>
    <col min="5" max="5" width="10.7109375" customWidth="1"/>
    <col min="6" max="6" width="5.5703125" customWidth="1"/>
    <col min="7" max="7" width="12.85546875" customWidth="1"/>
    <col min="8" max="8" width="5.42578125" customWidth="1"/>
    <col min="9" max="9" width="10.140625" customWidth="1"/>
    <col min="10" max="10" width="17.85546875" customWidth="1"/>
    <col min="11" max="11" width="5.140625" customWidth="1"/>
    <col min="12" max="12" width="21.855468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 s="1">
        <v>1990</v>
      </c>
      <c r="B2" s="1" t="s">
        <v>31</v>
      </c>
      <c r="C2" s="1">
        <v>635</v>
      </c>
      <c r="D2" s="1" t="s">
        <v>23</v>
      </c>
      <c r="E2" s="1">
        <v>0.35</v>
      </c>
      <c r="F2" s="1" t="s">
        <v>24</v>
      </c>
      <c r="G2" s="1">
        <v>394</v>
      </c>
      <c r="H2" s="1" t="s">
        <v>24</v>
      </c>
      <c r="I2">
        <v>0.69</v>
      </c>
      <c r="L2" t="s">
        <v>94</v>
      </c>
    </row>
    <row r="3" spans="1:12" x14ac:dyDescent="0.25">
      <c r="A3" s="1"/>
      <c r="B3" s="1"/>
      <c r="C3" s="1"/>
      <c r="D3" s="1"/>
      <c r="E3" s="1"/>
      <c r="F3" s="1"/>
    </row>
    <row r="4" spans="1:12" x14ac:dyDescent="0.25">
      <c r="A4" s="1"/>
      <c r="B4" s="1"/>
      <c r="C4" s="1"/>
      <c r="D4" s="1"/>
      <c r="E4" s="1"/>
      <c r="F4" s="1"/>
    </row>
    <row r="5" spans="1:12" x14ac:dyDescent="0.25">
      <c r="A5" s="1"/>
      <c r="B5" s="1"/>
      <c r="C5" s="1"/>
      <c r="D5" s="1"/>
      <c r="E5" s="1"/>
      <c r="F5" s="1"/>
    </row>
    <row r="6" spans="1:12" x14ac:dyDescent="0.25">
      <c r="A6" s="1"/>
      <c r="B6" s="1"/>
      <c r="C6" s="3"/>
      <c r="D6" s="3"/>
      <c r="E6" s="1"/>
      <c r="F6" s="1"/>
    </row>
    <row r="7" spans="1:12" x14ac:dyDescent="0.25">
      <c r="A7" s="1"/>
      <c r="B7" s="1"/>
      <c r="C7" s="1"/>
      <c r="D7" s="1"/>
      <c r="E7" s="1"/>
      <c r="F7" s="1"/>
    </row>
    <row r="8" spans="1:12" x14ac:dyDescent="0.25">
      <c r="A8" s="1"/>
      <c r="B8" s="1"/>
      <c r="C8" s="1"/>
      <c r="D8" s="1"/>
      <c r="E8" s="1"/>
      <c r="F8" s="1"/>
    </row>
    <row r="9" spans="1:12" x14ac:dyDescent="0.25">
      <c r="A9" s="1"/>
      <c r="B9" s="1"/>
      <c r="C9" s="1"/>
      <c r="D9" s="1"/>
      <c r="E9" s="1"/>
      <c r="F9" s="1"/>
    </row>
    <row r="10" spans="1:12" x14ac:dyDescent="0.25">
      <c r="A10" s="1"/>
      <c r="B10" s="1"/>
      <c r="C10" s="1"/>
      <c r="D10" s="1"/>
      <c r="E10" s="1"/>
      <c r="F10" s="1"/>
    </row>
    <row r="11" spans="1:12" x14ac:dyDescent="0.25">
      <c r="A11" s="1"/>
      <c r="B11" s="1"/>
      <c r="C11" s="1"/>
      <c r="D11" s="1"/>
      <c r="F11" s="1"/>
    </row>
    <row r="12" spans="1:12" x14ac:dyDescent="0.25">
      <c r="A12" s="1"/>
      <c r="B12" s="1"/>
      <c r="C12" s="1"/>
      <c r="D12" s="1"/>
      <c r="F12" s="1"/>
    </row>
    <row r="13" spans="1:12" x14ac:dyDescent="0.25">
      <c r="A13" s="1"/>
      <c r="B13" s="1"/>
      <c r="C13" s="3"/>
      <c r="D13" s="3"/>
      <c r="F13" s="1"/>
    </row>
    <row r="14" spans="1:12" x14ac:dyDescent="0.25">
      <c r="A14" s="1"/>
      <c r="B14" s="1"/>
      <c r="C14" s="1"/>
      <c r="D14" s="1"/>
      <c r="F14" s="1"/>
    </row>
    <row r="15" spans="1:12" x14ac:dyDescent="0.25">
      <c r="A15" s="1"/>
      <c r="B15" s="1"/>
      <c r="C15" s="1"/>
      <c r="D15" s="1"/>
      <c r="F15" s="1"/>
    </row>
    <row r="16" spans="1:12" x14ac:dyDescent="0.25">
      <c r="A16" s="1"/>
      <c r="B16" s="1"/>
      <c r="C16" s="1"/>
      <c r="D16" s="1"/>
      <c r="F16" s="1"/>
    </row>
    <row r="17" spans="1:1" x14ac:dyDescent="0.25">
      <c r="A17" s="1"/>
    </row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295"/>
  <sheetViews>
    <sheetView topLeftCell="A25" zoomScaleNormal="100" workbookViewId="0">
      <selection activeCell="S50" sqref="S50"/>
    </sheetView>
  </sheetViews>
  <sheetFormatPr defaultRowHeight="15" x14ac:dyDescent="0.25"/>
  <cols>
    <col min="1" max="1" width="11" customWidth="1"/>
    <col min="2" max="2" width="18.85546875" customWidth="1"/>
    <col min="14" max="16" width="13.5703125" customWidth="1"/>
    <col min="17" max="17" width="13.28515625" customWidth="1"/>
    <col min="18" max="18" width="11.85546875" customWidth="1"/>
    <col min="19" max="19" width="11" customWidth="1"/>
    <col min="20" max="20" width="12.5703125" customWidth="1"/>
    <col min="21" max="22" width="19.5703125" customWidth="1"/>
    <col min="23" max="23" width="11" customWidth="1"/>
    <col min="24" max="24" width="19.5703125" customWidth="1"/>
    <col min="25" max="25" width="11" customWidth="1"/>
    <col min="26" max="26" width="7.28515625" customWidth="1"/>
    <col min="27" max="27" width="2.140625" customWidth="1"/>
  </cols>
  <sheetData>
    <row r="1" spans="1:24" x14ac:dyDescent="0.25">
      <c r="A1" s="12" t="s">
        <v>43</v>
      </c>
      <c r="B1" s="12" t="s">
        <v>207</v>
      </c>
      <c r="C1" s="13" t="s">
        <v>208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2" t="s">
        <v>17</v>
      </c>
      <c r="B2" s="12" t="s">
        <v>225</v>
      </c>
      <c r="C2" s="13" t="s">
        <v>214</v>
      </c>
      <c r="D2" s="13" t="s">
        <v>215</v>
      </c>
      <c r="E2" s="13" t="s">
        <v>216</v>
      </c>
      <c r="F2" s="13" t="s">
        <v>217</v>
      </c>
      <c r="G2" s="13" t="s">
        <v>218</v>
      </c>
      <c r="H2" s="13" t="s">
        <v>219</v>
      </c>
      <c r="I2" s="13" t="s">
        <v>220</v>
      </c>
      <c r="J2" s="13" t="s">
        <v>221</v>
      </c>
      <c r="K2" s="13" t="s">
        <v>222</v>
      </c>
      <c r="L2" s="13" t="s">
        <v>223</v>
      </c>
      <c r="M2" s="13" t="s">
        <v>224</v>
      </c>
      <c r="N2" s="12" t="s">
        <v>226</v>
      </c>
    </row>
    <row r="3" spans="1:24" x14ac:dyDescent="0.25">
      <c r="A3" s="12">
        <v>2011</v>
      </c>
      <c r="B3" s="12" t="s">
        <v>163</v>
      </c>
      <c r="C3" s="14">
        <v>2.2599999999999998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2" t="s">
        <v>209</v>
      </c>
    </row>
    <row r="4" spans="1:24" x14ac:dyDescent="0.25">
      <c r="A4" s="12">
        <v>2011</v>
      </c>
      <c r="B4" s="12" t="s">
        <v>163</v>
      </c>
      <c r="C4" s="14">
        <v>15.98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2" t="s">
        <v>209</v>
      </c>
    </row>
    <row r="5" spans="1:24" x14ac:dyDescent="0.25">
      <c r="A5" s="12">
        <v>2011</v>
      </c>
      <c r="B5" s="12" t="s">
        <v>163</v>
      </c>
      <c r="C5" s="14">
        <v>2.25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2" t="s">
        <v>210</v>
      </c>
    </row>
    <row r="6" spans="1:24" x14ac:dyDescent="0.25">
      <c r="A6" s="12">
        <v>2011</v>
      </c>
      <c r="B6" s="12" t="s">
        <v>163</v>
      </c>
      <c r="C6" s="14"/>
      <c r="D6" s="14">
        <v>1.49</v>
      </c>
      <c r="E6" s="14"/>
      <c r="F6" s="14"/>
      <c r="G6" s="14"/>
      <c r="H6" s="14"/>
      <c r="I6" s="14"/>
      <c r="J6" s="14"/>
      <c r="K6" s="14"/>
      <c r="L6" s="14"/>
      <c r="M6" s="14"/>
      <c r="N6" s="12" t="s">
        <v>209</v>
      </c>
    </row>
    <row r="7" spans="1:24" x14ac:dyDescent="0.25">
      <c r="A7" s="12">
        <v>2011</v>
      </c>
      <c r="B7" s="12" t="s">
        <v>163</v>
      </c>
      <c r="C7" s="14"/>
      <c r="D7" s="14">
        <v>5.5</v>
      </c>
      <c r="E7" s="14"/>
      <c r="F7" s="14"/>
      <c r="G7" s="14"/>
      <c r="H7" s="14"/>
      <c r="I7" s="14"/>
      <c r="J7" s="14"/>
      <c r="K7" s="14"/>
      <c r="L7" s="14"/>
      <c r="M7" s="14"/>
      <c r="N7" s="12" t="s">
        <v>209</v>
      </c>
    </row>
    <row r="8" spans="1:24" x14ac:dyDescent="0.25">
      <c r="A8" s="12">
        <v>2011</v>
      </c>
      <c r="B8" s="12" t="s">
        <v>163</v>
      </c>
      <c r="C8" s="14"/>
      <c r="D8" s="14">
        <v>0.64</v>
      </c>
      <c r="E8" s="14"/>
      <c r="F8" s="14"/>
      <c r="G8" s="14"/>
      <c r="H8" s="14"/>
      <c r="I8" s="14"/>
      <c r="J8" s="14"/>
      <c r="K8" s="14"/>
      <c r="L8" s="14"/>
      <c r="M8" s="14"/>
      <c r="N8" s="12" t="s">
        <v>210</v>
      </c>
    </row>
    <row r="9" spans="1:24" x14ac:dyDescent="0.25">
      <c r="A9" s="12">
        <v>2005</v>
      </c>
      <c r="B9" s="12" t="s">
        <v>126</v>
      </c>
      <c r="C9" s="14"/>
      <c r="D9" s="14"/>
      <c r="E9" s="14">
        <f>0.0033*(0.7*151.7+(1-0.7)*77.13)+0.5*0.001351</f>
        <v>0.42746119999999993</v>
      </c>
      <c r="F9" s="14"/>
      <c r="G9" s="14"/>
      <c r="H9" s="14"/>
      <c r="I9" s="14"/>
      <c r="J9" s="14"/>
      <c r="K9" s="14"/>
      <c r="L9" s="14"/>
      <c r="M9" s="14"/>
      <c r="N9" s="12" t="s">
        <v>195</v>
      </c>
    </row>
    <row r="10" spans="1:24" x14ac:dyDescent="0.25">
      <c r="A10" s="12">
        <v>2011</v>
      </c>
      <c r="B10" s="12" t="s">
        <v>163</v>
      </c>
      <c r="C10" s="14"/>
      <c r="D10" s="14"/>
      <c r="E10" s="14"/>
      <c r="F10" s="14">
        <v>1.18</v>
      </c>
      <c r="G10" s="14"/>
      <c r="H10" s="14"/>
      <c r="I10" s="14"/>
      <c r="J10" s="14"/>
      <c r="K10" s="14"/>
      <c r="L10" s="14"/>
      <c r="M10" s="14"/>
      <c r="N10" s="12" t="s">
        <v>209</v>
      </c>
    </row>
    <row r="11" spans="1:24" x14ac:dyDescent="0.25">
      <c r="A11" s="12">
        <v>2011</v>
      </c>
      <c r="B11" s="12" t="s">
        <v>163</v>
      </c>
      <c r="C11" s="14"/>
      <c r="D11" s="14"/>
      <c r="E11" s="14"/>
      <c r="F11" s="14">
        <v>1.89</v>
      </c>
      <c r="G11" s="14"/>
      <c r="H11" s="14"/>
      <c r="I11" s="14"/>
      <c r="J11" s="14"/>
      <c r="K11" s="14"/>
      <c r="L11" s="14"/>
      <c r="M11" s="14"/>
      <c r="N11" s="12" t="s">
        <v>209</v>
      </c>
    </row>
    <row r="12" spans="1:24" x14ac:dyDescent="0.25">
      <c r="A12" s="12">
        <v>2011</v>
      </c>
      <c r="B12" s="12" t="s">
        <v>163</v>
      </c>
      <c r="C12" s="14"/>
      <c r="D12" s="14"/>
      <c r="E12" s="14"/>
      <c r="F12" s="14">
        <v>0.64</v>
      </c>
      <c r="G12" s="14"/>
      <c r="H12" s="14"/>
      <c r="I12" s="14"/>
      <c r="J12" s="14"/>
      <c r="K12" s="14"/>
      <c r="L12" s="14"/>
      <c r="M12" s="14"/>
      <c r="N12" s="12" t="s">
        <v>210</v>
      </c>
    </row>
    <row r="13" spans="1:24" x14ac:dyDescent="0.25">
      <c r="A13" s="12">
        <v>2005</v>
      </c>
      <c r="B13" s="12" t="s">
        <v>126</v>
      </c>
      <c r="C13" s="14"/>
      <c r="D13" s="14"/>
      <c r="E13" s="14"/>
      <c r="F13" s="14"/>
      <c r="G13" s="14">
        <f>0.0033*(0.7*50.58+(1-0.7)*8.07)+0.5*0.002644</f>
        <v>0.12615109999999999</v>
      </c>
      <c r="H13" s="14"/>
      <c r="I13" s="14"/>
      <c r="J13" s="14"/>
      <c r="K13" s="14"/>
      <c r="L13" s="14"/>
      <c r="M13" s="14"/>
      <c r="N13" s="12" t="s">
        <v>195</v>
      </c>
    </row>
    <row r="14" spans="1:24" x14ac:dyDescent="0.25">
      <c r="A14" s="12">
        <v>2005</v>
      </c>
      <c r="B14" s="12" t="s">
        <v>126</v>
      </c>
      <c r="C14" s="14"/>
      <c r="D14" s="14"/>
      <c r="E14" s="14"/>
      <c r="F14" s="14"/>
      <c r="G14" s="14"/>
      <c r="H14" s="14">
        <f>0.0033*(0.7*27.58+(1-0.7)*3.27)+0.5*0.002916</f>
        <v>6.8405099999999996E-2</v>
      </c>
      <c r="I14" s="14"/>
      <c r="J14" s="14"/>
      <c r="K14" s="14"/>
      <c r="L14" s="14"/>
      <c r="M14" s="14"/>
      <c r="N14" s="12" t="s">
        <v>195</v>
      </c>
    </row>
    <row r="15" spans="1:24" x14ac:dyDescent="0.25">
      <c r="A15" s="12">
        <v>1996</v>
      </c>
      <c r="B15" s="12" t="s">
        <v>124</v>
      </c>
      <c r="C15" s="14"/>
      <c r="D15" s="14"/>
      <c r="E15" s="14"/>
      <c r="F15" s="14"/>
      <c r="G15" s="14"/>
      <c r="H15" s="14"/>
      <c r="I15" s="14">
        <v>2.5999999999999999E-2</v>
      </c>
      <c r="J15" s="14"/>
      <c r="K15" s="14"/>
      <c r="L15" s="14"/>
      <c r="M15" s="14"/>
      <c r="N15" s="12" t="s">
        <v>211</v>
      </c>
    </row>
    <row r="16" spans="1:24" x14ac:dyDescent="0.25">
      <c r="A16" s="12">
        <v>2005</v>
      </c>
      <c r="B16" s="12" t="s">
        <v>126</v>
      </c>
      <c r="C16" s="14"/>
      <c r="D16" s="14"/>
      <c r="E16" s="14"/>
      <c r="F16" s="14"/>
      <c r="G16" s="14"/>
      <c r="H16" s="14"/>
      <c r="I16" s="14"/>
      <c r="J16" s="14">
        <f>0.0033*(0.7*20.08+(1-0.7)*1.97)+0.5*0.0034</f>
        <v>5.0035099999999992E-2</v>
      </c>
      <c r="K16" s="14"/>
      <c r="L16" s="14"/>
      <c r="M16" s="14"/>
      <c r="N16" s="12" t="s">
        <v>195</v>
      </c>
    </row>
    <row r="17" spans="1:14" x14ac:dyDescent="0.25">
      <c r="A17" s="12">
        <v>2011</v>
      </c>
      <c r="B17" s="12" t="s">
        <v>163</v>
      </c>
      <c r="C17" s="14"/>
      <c r="D17" s="14"/>
      <c r="E17" s="14"/>
      <c r="F17" s="14"/>
      <c r="G17" s="14"/>
      <c r="H17" s="14"/>
      <c r="I17" s="14"/>
      <c r="J17" s="14"/>
      <c r="K17" s="14">
        <v>1.1100000000000001</v>
      </c>
      <c r="L17" s="14"/>
      <c r="M17" s="14"/>
      <c r="N17" s="12" t="s">
        <v>209</v>
      </c>
    </row>
    <row r="18" spans="1:14" x14ac:dyDescent="0.25">
      <c r="A18" s="12">
        <v>2011</v>
      </c>
      <c r="B18" s="12" t="s">
        <v>163</v>
      </c>
      <c r="C18" s="14"/>
      <c r="D18" s="14"/>
      <c r="E18" s="14"/>
      <c r="F18" s="14"/>
      <c r="G18" s="14"/>
      <c r="H18" s="14"/>
      <c r="I18" s="14"/>
      <c r="J18" s="14"/>
      <c r="K18" s="14">
        <v>1.27</v>
      </c>
      <c r="L18" s="14"/>
      <c r="M18" s="14"/>
      <c r="N18" s="12" t="s">
        <v>209</v>
      </c>
    </row>
    <row r="19" spans="1:14" x14ac:dyDescent="0.25">
      <c r="A19" s="12">
        <v>2011</v>
      </c>
      <c r="B19" s="12" t="s">
        <v>163</v>
      </c>
      <c r="C19" s="14"/>
      <c r="D19" s="14"/>
      <c r="E19" s="14"/>
      <c r="F19" s="14"/>
      <c r="G19" s="14"/>
      <c r="H19" s="14"/>
      <c r="I19" s="14"/>
      <c r="J19" s="14"/>
      <c r="K19" s="14">
        <v>0.75</v>
      </c>
      <c r="L19" s="14"/>
      <c r="M19" s="14"/>
      <c r="N19" s="12" t="s">
        <v>210</v>
      </c>
    </row>
    <row r="20" spans="1:14" x14ac:dyDescent="0.25">
      <c r="A20" s="12">
        <v>1996</v>
      </c>
      <c r="B20" s="12" t="s">
        <v>124</v>
      </c>
      <c r="C20" s="14"/>
      <c r="D20" s="14"/>
      <c r="E20" s="14"/>
      <c r="F20" s="14"/>
      <c r="G20" s="14"/>
      <c r="H20" s="14"/>
      <c r="I20" s="14"/>
      <c r="J20" s="14"/>
      <c r="K20" s="14"/>
      <c r="L20" s="14">
        <v>2.0999999999999999E-3</v>
      </c>
      <c r="M20" s="14"/>
      <c r="N20" s="12" t="s">
        <v>211</v>
      </c>
    </row>
    <row r="21" spans="1:14" x14ac:dyDescent="0.25">
      <c r="A21" s="12">
        <v>2011</v>
      </c>
      <c r="B21" s="12" t="s">
        <v>163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>
        <v>1.07</v>
      </c>
      <c r="N21" s="12" t="s">
        <v>209</v>
      </c>
    </row>
    <row r="22" spans="1:14" x14ac:dyDescent="0.25">
      <c r="A22" s="12">
        <v>2011</v>
      </c>
      <c r="B22" s="12" t="s">
        <v>163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>
        <v>1.08</v>
      </c>
      <c r="N22" s="12" t="s">
        <v>209</v>
      </c>
    </row>
    <row r="23" spans="1:14" x14ac:dyDescent="0.25">
      <c r="A23" s="12">
        <v>2011</v>
      </c>
      <c r="B23" s="12" t="s">
        <v>163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>
        <v>1.05</v>
      </c>
      <c r="N23" s="12" t="s">
        <v>210</v>
      </c>
    </row>
    <row r="25" spans="1:14" x14ac:dyDescent="0.25">
      <c r="A25" s="12" t="s">
        <v>43</v>
      </c>
      <c r="B25" s="12" t="s">
        <v>212</v>
      </c>
      <c r="C25" s="12" t="s">
        <v>208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 t="s">
        <v>17</v>
      </c>
      <c r="B26" s="12" t="s">
        <v>225</v>
      </c>
      <c r="C26" s="12" t="s">
        <v>214</v>
      </c>
      <c r="D26" s="12" t="s">
        <v>215</v>
      </c>
      <c r="E26" s="12" t="s">
        <v>216</v>
      </c>
      <c r="F26" s="12" t="s">
        <v>217</v>
      </c>
      <c r="G26" s="12" t="s">
        <v>218</v>
      </c>
      <c r="H26" s="12" t="s">
        <v>219</v>
      </c>
      <c r="I26" s="12" t="s">
        <v>220</v>
      </c>
      <c r="J26" s="12" t="s">
        <v>221</v>
      </c>
      <c r="K26" s="12" t="s">
        <v>222</v>
      </c>
      <c r="L26" s="12" t="s">
        <v>223</v>
      </c>
      <c r="M26" s="12" t="s">
        <v>224</v>
      </c>
      <c r="N26" s="12" t="s">
        <v>226</v>
      </c>
    </row>
    <row r="27" spans="1:14" x14ac:dyDescent="0.25">
      <c r="A27" s="12">
        <v>2011</v>
      </c>
      <c r="B27" s="12" t="s">
        <v>163</v>
      </c>
      <c r="C27" s="14">
        <v>13.4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2" t="s">
        <v>209</v>
      </c>
    </row>
    <row r="28" spans="1:14" x14ac:dyDescent="0.25">
      <c r="A28" s="12">
        <v>2011</v>
      </c>
      <c r="B28" s="12" t="s">
        <v>163</v>
      </c>
      <c r="C28" s="14">
        <v>49.5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2" t="s">
        <v>209</v>
      </c>
    </row>
    <row r="29" spans="1:14" x14ac:dyDescent="0.25">
      <c r="A29" s="12">
        <v>2011</v>
      </c>
      <c r="B29" s="12" t="s">
        <v>163</v>
      </c>
      <c r="C29" s="14">
        <v>19.8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2" t="s">
        <v>210</v>
      </c>
    </row>
    <row r="30" spans="1:14" x14ac:dyDescent="0.25">
      <c r="A30" s="12">
        <v>2011</v>
      </c>
      <c r="B30" s="12" t="s">
        <v>163</v>
      </c>
      <c r="C30" s="14"/>
      <c r="D30" s="14">
        <v>13.8</v>
      </c>
      <c r="E30" s="14"/>
      <c r="F30" s="14"/>
      <c r="G30" s="14"/>
      <c r="H30" s="14"/>
      <c r="I30" s="14"/>
      <c r="J30" s="14"/>
      <c r="K30" s="14"/>
      <c r="L30" s="14"/>
      <c r="M30" s="14"/>
      <c r="N30" s="12" t="s">
        <v>209</v>
      </c>
    </row>
    <row r="31" spans="1:14" x14ac:dyDescent="0.25">
      <c r="A31" s="12">
        <v>2011</v>
      </c>
      <c r="B31" s="12" t="s">
        <v>163</v>
      </c>
      <c r="C31" s="14"/>
      <c r="D31" s="14">
        <v>35.4</v>
      </c>
      <c r="E31" s="14"/>
      <c r="F31" s="14"/>
      <c r="G31" s="14"/>
      <c r="H31" s="14"/>
      <c r="I31" s="14"/>
      <c r="J31" s="14"/>
      <c r="K31" s="14"/>
      <c r="L31" s="14"/>
      <c r="M31" s="14"/>
      <c r="N31" s="12" t="s">
        <v>209</v>
      </c>
    </row>
    <row r="32" spans="1:14" x14ac:dyDescent="0.25">
      <c r="A32" s="12">
        <v>2011</v>
      </c>
      <c r="B32" s="12" t="s">
        <v>163</v>
      </c>
      <c r="C32" s="14"/>
      <c r="D32" s="14">
        <v>14.3</v>
      </c>
      <c r="E32" s="14"/>
      <c r="F32" s="14"/>
      <c r="G32" s="14"/>
      <c r="H32" s="14"/>
      <c r="I32" s="14"/>
      <c r="J32" s="14"/>
      <c r="K32" s="14"/>
      <c r="L32" s="14"/>
      <c r="M32" s="14"/>
      <c r="N32" s="12" t="s">
        <v>210</v>
      </c>
    </row>
    <row r="33" spans="1:24" x14ac:dyDescent="0.25">
      <c r="A33" s="12">
        <v>2005</v>
      </c>
      <c r="B33" s="12" t="s">
        <v>126</v>
      </c>
      <c r="C33" s="14"/>
      <c r="D33" s="14"/>
      <c r="E33" s="14">
        <v>12.9</v>
      </c>
      <c r="F33" s="14"/>
      <c r="G33" s="14"/>
      <c r="H33" s="14"/>
      <c r="I33" s="14"/>
      <c r="J33" s="14"/>
      <c r="K33" s="14"/>
      <c r="L33" s="14"/>
      <c r="M33" s="14"/>
      <c r="N33" s="12" t="s">
        <v>195</v>
      </c>
    </row>
    <row r="34" spans="1:24" x14ac:dyDescent="0.25">
      <c r="A34" s="12">
        <v>2013</v>
      </c>
      <c r="B34" s="12" t="s">
        <v>27</v>
      </c>
      <c r="C34" s="14"/>
      <c r="D34" s="14"/>
      <c r="E34" s="14">
        <v>12.854227865791854</v>
      </c>
      <c r="F34" s="14"/>
      <c r="G34" s="14"/>
      <c r="H34" s="14"/>
      <c r="I34" s="14"/>
      <c r="J34" s="14"/>
      <c r="K34" s="14"/>
      <c r="L34" s="14"/>
      <c r="M34" s="14"/>
      <c r="N34" s="12" t="s">
        <v>209</v>
      </c>
    </row>
    <row r="35" spans="1:24" x14ac:dyDescent="0.25">
      <c r="A35" s="12">
        <v>2013</v>
      </c>
      <c r="B35" s="12" t="s">
        <v>27</v>
      </c>
      <c r="C35" s="14"/>
      <c r="D35" s="14"/>
      <c r="E35" s="14">
        <v>9.7258422565310116</v>
      </c>
      <c r="F35" s="14"/>
      <c r="G35" s="14"/>
      <c r="H35" s="14"/>
      <c r="I35" s="14"/>
      <c r="J35" s="14"/>
      <c r="K35" s="14"/>
      <c r="L35" s="14"/>
      <c r="M35" s="14"/>
      <c r="N35" s="12" t="s">
        <v>209</v>
      </c>
    </row>
    <row r="36" spans="1:24" x14ac:dyDescent="0.25">
      <c r="A36" s="12">
        <v>2013</v>
      </c>
      <c r="B36" s="12" t="s">
        <v>27</v>
      </c>
      <c r="C36" s="14"/>
      <c r="D36" s="14"/>
      <c r="E36" s="14">
        <v>29.88981591081761</v>
      </c>
      <c r="F36" s="14"/>
      <c r="G36" s="14"/>
      <c r="H36" s="14"/>
      <c r="I36" s="14"/>
      <c r="J36" s="14"/>
      <c r="K36" s="14"/>
      <c r="L36" s="14"/>
      <c r="M36" s="14"/>
      <c r="N36" s="12" t="s">
        <v>209</v>
      </c>
    </row>
    <row r="37" spans="1:24" x14ac:dyDescent="0.25">
      <c r="A37" s="12">
        <v>2013</v>
      </c>
      <c r="B37" s="12" t="s">
        <v>27</v>
      </c>
      <c r="C37" s="14"/>
      <c r="D37" s="14"/>
      <c r="E37" s="14">
        <v>18.518401009411967</v>
      </c>
      <c r="F37" s="14"/>
      <c r="G37" s="14"/>
      <c r="H37" s="14"/>
      <c r="I37" s="14"/>
      <c r="J37" s="14"/>
      <c r="K37" s="14"/>
      <c r="L37" s="14"/>
      <c r="M37" s="14"/>
      <c r="N37" s="12" t="s">
        <v>209</v>
      </c>
    </row>
    <row r="38" spans="1:24" x14ac:dyDescent="0.25">
      <c r="A38" s="12">
        <v>2011</v>
      </c>
      <c r="B38" s="12" t="s">
        <v>163</v>
      </c>
      <c r="C38" s="14"/>
      <c r="D38" s="14"/>
      <c r="E38" s="14"/>
      <c r="F38" s="14">
        <v>13.4</v>
      </c>
      <c r="G38" s="14"/>
      <c r="H38" s="14"/>
      <c r="I38" s="14"/>
      <c r="J38" s="14"/>
      <c r="K38" s="14"/>
      <c r="L38" s="14"/>
      <c r="M38" s="14"/>
      <c r="N38" s="12" t="s">
        <v>209</v>
      </c>
    </row>
    <row r="39" spans="1:24" x14ac:dyDescent="0.25">
      <c r="A39" s="12">
        <v>2011</v>
      </c>
      <c r="B39" s="12" t="s">
        <v>163</v>
      </c>
      <c r="C39" s="14"/>
      <c r="D39" s="14"/>
      <c r="E39" s="14"/>
      <c r="F39" s="14">
        <v>27</v>
      </c>
      <c r="G39" s="14"/>
      <c r="H39" s="14"/>
      <c r="I39" s="14"/>
      <c r="J39" s="14"/>
      <c r="K39" s="14"/>
      <c r="L39" s="14"/>
      <c r="M39" s="14"/>
      <c r="N39" s="12" t="s">
        <v>209</v>
      </c>
    </row>
    <row r="40" spans="1:24" x14ac:dyDescent="0.25">
      <c r="A40" s="12">
        <v>2011</v>
      </c>
      <c r="B40" s="12" t="s">
        <v>163</v>
      </c>
      <c r="C40" s="14"/>
      <c r="D40" s="14"/>
      <c r="E40" s="14"/>
      <c r="F40" s="14">
        <v>12.2</v>
      </c>
      <c r="G40" s="14"/>
      <c r="H40" s="14"/>
      <c r="I40" s="14"/>
      <c r="J40" s="14"/>
      <c r="K40" s="14"/>
      <c r="L40" s="14"/>
      <c r="M40" s="14"/>
      <c r="N40" s="12" t="s">
        <v>210</v>
      </c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2">
        <v>2005</v>
      </c>
      <c r="B41" s="12" t="s">
        <v>126</v>
      </c>
      <c r="C41" s="14"/>
      <c r="D41" s="14"/>
      <c r="E41" s="14"/>
      <c r="F41" s="14"/>
      <c r="G41" s="14">
        <v>12.7</v>
      </c>
      <c r="H41" s="14"/>
      <c r="I41" s="14"/>
      <c r="J41" s="14"/>
      <c r="K41" s="14"/>
      <c r="L41" s="14"/>
      <c r="M41" s="14"/>
      <c r="N41" s="12" t="s">
        <v>195</v>
      </c>
    </row>
    <row r="42" spans="1:24" x14ac:dyDescent="0.25">
      <c r="A42" s="12">
        <v>2013</v>
      </c>
      <c r="B42" s="12" t="s">
        <v>27</v>
      </c>
      <c r="C42" s="14"/>
      <c r="D42" s="14"/>
      <c r="E42" s="14"/>
      <c r="F42" s="14"/>
      <c r="G42" s="14">
        <v>12.690304189175214</v>
      </c>
      <c r="H42" s="14"/>
      <c r="I42" s="14"/>
      <c r="J42" s="14"/>
      <c r="K42" s="14"/>
      <c r="L42" s="14"/>
      <c r="M42" s="14"/>
      <c r="N42" s="12" t="s">
        <v>209</v>
      </c>
    </row>
    <row r="43" spans="1:24" x14ac:dyDescent="0.25">
      <c r="A43" s="12">
        <v>2013</v>
      </c>
      <c r="B43" s="12" t="s">
        <v>27</v>
      </c>
      <c r="C43" s="14"/>
      <c r="D43" s="14"/>
      <c r="E43" s="14"/>
      <c r="F43" s="14"/>
      <c r="G43" s="14">
        <v>9.5586982796003443</v>
      </c>
      <c r="H43" s="14"/>
      <c r="I43" s="14"/>
      <c r="J43" s="14"/>
      <c r="K43" s="14"/>
      <c r="L43" s="14"/>
      <c r="M43" s="14"/>
      <c r="N43" s="12" t="s">
        <v>209</v>
      </c>
    </row>
    <row r="44" spans="1:24" x14ac:dyDescent="0.25">
      <c r="A44" s="12">
        <v>2013</v>
      </c>
      <c r="B44" s="12" t="s">
        <v>27</v>
      </c>
      <c r="C44" s="14"/>
      <c r="D44" s="14"/>
      <c r="E44" s="14"/>
      <c r="F44" s="14"/>
      <c r="G44" s="14">
        <v>28.921389259742387</v>
      </c>
      <c r="H44" s="14"/>
      <c r="I44" s="14"/>
      <c r="J44" s="14"/>
      <c r="K44" s="14"/>
      <c r="L44" s="14"/>
      <c r="M44" s="14"/>
      <c r="N44" s="12" t="s">
        <v>209</v>
      </c>
    </row>
    <row r="45" spans="1:24" x14ac:dyDescent="0.25">
      <c r="A45" s="12">
        <v>2013</v>
      </c>
      <c r="B45" s="12" t="s">
        <v>27</v>
      </c>
      <c r="C45" s="14"/>
      <c r="D45" s="14"/>
      <c r="E45" s="14"/>
      <c r="F45" s="14"/>
      <c r="G45" s="14">
        <v>17.953085890381171</v>
      </c>
      <c r="H45" s="14"/>
      <c r="I45" s="14"/>
      <c r="J45" s="14"/>
      <c r="K45" s="14"/>
      <c r="L45" s="14"/>
      <c r="M45" s="14"/>
      <c r="N45" s="12" t="s">
        <v>209</v>
      </c>
    </row>
    <row r="46" spans="1:24" x14ac:dyDescent="0.25">
      <c r="A46" s="12">
        <v>2005</v>
      </c>
      <c r="B46" s="12" t="s">
        <v>126</v>
      </c>
      <c r="C46" s="14"/>
      <c r="D46" s="14"/>
      <c r="E46" s="14"/>
      <c r="F46" s="14"/>
      <c r="G46" s="14"/>
      <c r="H46" s="14">
        <v>12.48</v>
      </c>
      <c r="I46" s="14"/>
      <c r="J46" s="14"/>
      <c r="K46" s="14"/>
      <c r="L46" s="14"/>
      <c r="M46" s="14"/>
      <c r="N46" s="12" t="s">
        <v>195</v>
      </c>
    </row>
    <row r="47" spans="1:24" x14ac:dyDescent="0.25">
      <c r="A47" s="12">
        <v>2013</v>
      </c>
      <c r="B47" s="12" t="s">
        <v>27</v>
      </c>
      <c r="C47" s="14"/>
      <c r="D47" s="14"/>
      <c r="E47" s="14"/>
      <c r="F47" s="14"/>
      <c r="G47" s="14"/>
      <c r="H47" s="14">
        <v>12.533659937899532</v>
      </c>
      <c r="I47" s="14"/>
      <c r="J47" s="14"/>
      <c r="K47" s="14"/>
      <c r="L47" s="14"/>
      <c r="M47" s="14"/>
      <c r="N47" s="12" t="s">
        <v>209</v>
      </c>
    </row>
    <row r="48" spans="1:24" x14ac:dyDescent="0.25">
      <c r="A48" s="12">
        <v>2013</v>
      </c>
      <c r="B48" s="12" t="s">
        <v>27</v>
      </c>
      <c r="C48" s="14"/>
      <c r="D48" s="14"/>
      <c r="E48" s="14"/>
      <c r="F48" s="14"/>
      <c r="G48" s="14"/>
      <c r="H48" s="14">
        <v>9.3996824446103862</v>
      </c>
      <c r="I48" s="14"/>
      <c r="J48" s="14"/>
      <c r="K48" s="14"/>
      <c r="L48" s="14"/>
      <c r="M48" s="14"/>
      <c r="N48" s="12" t="s">
        <v>209</v>
      </c>
    </row>
    <row r="49" spans="1:14" x14ac:dyDescent="0.25">
      <c r="A49" s="12">
        <v>2013</v>
      </c>
      <c r="B49" s="12" t="s">
        <v>27</v>
      </c>
      <c r="C49" s="14"/>
      <c r="D49" s="14"/>
      <c r="E49" s="14"/>
      <c r="F49" s="14"/>
      <c r="G49" s="14"/>
      <c r="H49" s="14">
        <v>28.014092924703551</v>
      </c>
      <c r="I49" s="14"/>
      <c r="J49" s="14"/>
      <c r="K49" s="14"/>
      <c r="L49" s="14"/>
      <c r="M49" s="14"/>
      <c r="N49" s="12" t="s">
        <v>209</v>
      </c>
    </row>
    <row r="50" spans="1:14" x14ac:dyDescent="0.25">
      <c r="A50" s="12">
        <v>2013</v>
      </c>
      <c r="B50" s="12" t="s">
        <v>27</v>
      </c>
      <c r="C50" s="14"/>
      <c r="D50" s="14"/>
      <c r="E50" s="14"/>
      <c r="F50" s="14"/>
      <c r="G50" s="14"/>
      <c r="H50" s="14">
        <v>17.422446684855721</v>
      </c>
      <c r="I50" s="14"/>
      <c r="J50" s="14"/>
      <c r="K50" s="14"/>
      <c r="L50" s="14"/>
      <c r="M50" s="14"/>
      <c r="N50" s="12" t="s">
        <v>209</v>
      </c>
    </row>
    <row r="51" spans="1:14" x14ac:dyDescent="0.25">
      <c r="A51" s="12">
        <v>1996</v>
      </c>
      <c r="B51" s="12" t="s">
        <v>124</v>
      </c>
      <c r="C51" s="14"/>
      <c r="D51" s="14"/>
      <c r="E51" s="14"/>
      <c r="F51" s="14"/>
      <c r="G51" s="14"/>
      <c r="H51" s="14"/>
      <c r="I51" s="14">
        <v>12</v>
      </c>
      <c r="J51" s="14"/>
      <c r="K51" s="14"/>
      <c r="L51" s="14"/>
      <c r="M51" s="14"/>
      <c r="N51" s="12" t="s">
        <v>211</v>
      </c>
    </row>
    <row r="52" spans="1:14" x14ac:dyDescent="0.25">
      <c r="A52" s="12">
        <v>2005</v>
      </c>
      <c r="B52" s="12" t="s">
        <v>126</v>
      </c>
      <c r="C52" s="14"/>
      <c r="D52" s="14"/>
      <c r="E52" s="14"/>
      <c r="F52" s="14"/>
      <c r="G52" s="14"/>
      <c r="H52" s="14"/>
      <c r="I52" s="14"/>
      <c r="J52" s="14">
        <v>12.27</v>
      </c>
      <c r="K52" s="14"/>
      <c r="L52" s="14"/>
      <c r="M52" s="14"/>
      <c r="N52" s="12" t="s">
        <v>195</v>
      </c>
    </row>
    <row r="53" spans="1:14" x14ac:dyDescent="0.25">
      <c r="A53" s="12">
        <v>2013</v>
      </c>
      <c r="B53" s="12" t="s">
        <v>27</v>
      </c>
      <c r="C53" s="14"/>
      <c r="D53" s="14"/>
      <c r="E53" s="14"/>
      <c r="F53" s="14"/>
      <c r="G53" s="14"/>
      <c r="H53" s="14"/>
      <c r="I53" s="14"/>
      <c r="J53" s="14">
        <v>12.383755717690052</v>
      </c>
      <c r="K53" s="14"/>
      <c r="L53" s="14"/>
      <c r="M53" s="14"/>
      <c r="N53" s="12" t="s">
        <v>209</v>
      </c>
    </row>
    <row r="54" spans="1:14" x14ac:dyDescent="0.25">
      <c r="A54" s="12">
        <v>2013</v>
      </c>
      <c r="B54" s="12" t="s">
        <v>27</v>
      </c>
      <c r="C54" s="14"/>
      <c r="D54" s="14"/>
      <c r="E54" s="14"/>
      <c r="F54" s="14"/>
      <c r="G54" s="14"/>
      <c r="H54" s="14"/>
      <c r="I54" s="14"/>
      <c r="J54" s="14">
        <v>9.2481597297364324</v>
      </c>
      <c r="K54" s="14"/>
      <c r="L54" s="14"/>
      <c r="M54" s="14"/>
      <c r="N54" s="12" t="s">
        <v>209</v>
      </c>
    </row>
    <row r="55" spans="1:14" x14ac:dyDescent="0.25">
      <c r="A55" s="12">
        <v>2013</v>
      </c>
      <c r="B55" s="12" t="s">
        <v>27</v>
      </c>
      <c r="C55" s="14"/>
      <c r="D55" s="14"/>
      <c r="E55" s="14"/>
      <c r="F55" s="14"/>
      <c r="G55" s="14"/>
      <c r="H55" s="14"/>
      <c r="I55" s="14"/>
      <c r="J55" s="14">
        <v>27.162305618447061</v>
      </c>
      <c r="K55" s="14"/>
      <c r="L55" s="14"/>
      <c r="M55" s="14"/>
      <c r="N55" s="12" t="s">
        <v>209</v>
      </c>
    </row>
    <row r="56" spans="1:14" x14ac:dyDescent="0.25">
      <c r="A56" s="12">
        <v>2013</v>
      </c>
      <c r="B56" s="12" t="s">
        <v>27</v>
      </c>
      <c r="C56" s="14"/>
      <c r="D56" s="14"/>
      <c r="E56" s="14"/>
      <c r="F56" s="14"/>
      <c r="G56" s="14"/>
      <c r="H56" s="14"/>
      <c r="I56" s="14"/>
      <c r="J56" s="14">
        <v>16.923353784249013</v>
      </c>
      <c r="K56" s="14"/>
      <c r="L56" s="14"/>
      <c r="M56" s="14"/>
      <c r="N56" s="12" t="s">
        <v>209</v>
      </c>
    </row>
    <row r="57" spans="1:14" x14ac:dyDescent="0.25">
      <c r="A57" s="12">
        <v>2011</v>
      </c>
      <c r="B57" s="12" t="s">
        <v>163</v>
      </c>
      <c r="C57" s="14"/>
      <c r="D57" s="14"/>
      <c r="E57" s="14"/>
      <c r="F57" s="14"/>
      <c r="G57" s="14"/>
      <c r="H57" s="14"/>
      <c r="I57" s="14"/>
      <c r="J57" s="14"/>
      <c r="K57" s="14">
        <v>12.2</v>
      </c>
      <c r="L57" s="14"/>
      <c r="M57" s="14"/>
      <c r="N57" s="12" t="s">
        <v>209</v>
      </c>
    </row>
    <row r="58" spans="1:14" x14ac:dyDescent="0.25">
      <c r="A58" s="12">
        <v>2011</v>
      </c>
      <c r="B58" s="12" t="s">
        <v>163</v>
      </c>
      <c r="C58" s="14"/>
      <c r="D58" s="14"/>
      <c r="E58" s="14"/>
      <c r="F58" s="14"/>
      <c r="G58" s="14"/>
      <c r="H58" s="14"/>
      <c r="I58" s="14"/>
      <c r="J58" s="14"/>
      <c r="K58" s="14">
        <v>23</v>
      </c>
      <c r="L58" s="14"/>
      <c r="M58" s="14"/>
      <c r="N58" s="12" t="s">
        <v>209</v>
      </c>
    </row>
    <row r="59" spans="1:14" x14ac:dyDescent="0.25">
      <c r="A59" s="12">
        <v>2011</v>
      </c>
      <c r="B59" s="12" t="s">
        <v>163</v>
      </c>
      <c r="C59" s="14"/>
      <c r="D59" s="14"/>
      <c r="E59" s="14"/>
      <c r="F59" s="14"/>
      <c r="G59" s="14"/>
      <c r="H59" s="14"/>
      <c r="I59" s="14"/>
      <c r="J59" s="14"/>
      <c r="K59" s="14">
        <v>11.4</v>
      </c>
      <c r="L59" s="14"/>
      <c r="M59" s="14"/>
      <c r="N59" s="12" t="s">
        <v>210</v>
      </c>
    </row>
    <row r="60" spans="1:14" x14ac:dyDescent="0.25">
      <c r="A60" s="12">
        <v>1996</v>
      </c>
      <c r="B60" s="12" t="s">
        <v>124</v>
      </c>
      <c r="C60" s="14"/>
      <c r="D60" s="14"/>
      <c r="E60" s="14"/>
      <c r="F60" s="14"/>
      <c r="G60" s="14"/>
      <c r="H60" s="14"/>
      <c r="I60" s="14"/>
      <c r="J60" s="14"/>
      <c r="K60" s="14"/>
      <c r="L60" s="14">
        <v>10</v>
      </c>
      <c r="M60" s="14"/>
      <c r="N60" s="12" t="s">
        <v>211</v>
      </c>
    </row>
    <row r="61" spans="1:14" x14ac:dyDescent="0.25">
      <c r="A61" s="12">
        <v>2011</v>
      </c>
      <c r="B61" s="12" t="s">
        <v>163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>
        <v>11.6</v>
      </c>
      <c r="N61" s="12" t="s">
        <v>209</v>
      </c>
    </row>
    <row r="62" spans="1:14" x14ac:dyDescent="0.25">
      <c r="A62" s="12">
        <v>2011</v>
      </c>
      <c r="B62" s="12" t="s">
        <v>163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>
        <v>20.2</v>
      </c>
      <c r="N62" s="12" t="s">
        <v>209</v>
      </c>
    </row>
    <row r="63" spans="1:14" x14ac:dyDescent="0.25">
      <c r="A63" s="12">
        <v>2011</v>
      </c>
      <c r="B63" s="12" t="s">
        <v>163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>
        <v>11</v>
      </c>
      <c r="N63" s="12" t="s">
        <v>210</v>
      </c>
    </row>
    <row r="65" spans="1:26" x14ac:dyDescent="0.25">
      <c r="A65" s="11" t="s">
        <v>45</v>
      </c>
      <c r="B65" s="11" t="s">
        <v>207</v>
      </c>
      <c r="C65" s="11" t="s">
        <v>208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6" x14ac:dyDescent="0.25">
      <c r="A66" s="11" t="s">
        <v>17</v>
      </c>
      <c r="B66" s="11" t="s">
        <v>225</v>
      </c>
      <c r="C66" s="19" t="s">
        <v>216</v>
      </c>
      <c r="D66" s="19" t="s">
        <v>218</v>
      </c>
      <c r="E66" s="19" t="s">
        <v>219</v>
      </c>
      <c r="F66" s="19" t="s">
        <v>221</v>
      </c>
      <c r="G66" s="19" t="s">
        <v>222</v>
      </c>
      <c r="H66" s="19" t="s">
        <v>227</v>
      </c>
      <c r="I66" s="19" t="s">
        <v>228</v>
      </c>
      <c r="J66" s="19" t="s">
        <v>224</v>
      </c>
      <c r="K66" s="19" t="s">
        <v>229</v>
      </c>
      <c r="L66" s="19" t="s">
        <v>230</v>
      </c>
      <c r="M66" s="19" t="s">
        <v>231</v>
      </c>
      <c r="N66" s="11" t="s">
        <v>226</v>
      </c>
    </row>
    <row r="67" spans="1:26" x14ac:dyDescent="0.25">
      <c r="A67" s="11">
        <v>2005</v>
      </c>
      <c r="B67" s="11" t="s">
        <v>126</v>
      </c>
      <c r="C67" s="22">
        <f>0.049*(0.8*151.7+0.2*77.13)+0.15*0.001351</f>
        <v>6.7027166500000011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8" t="s">
        <v>195</v>
      </c>
    </row>
    <row r="68" spans="1:26" x14ac:dyDescent="0.25">
      <c r="A68" s="11">
        <v>2005</v>
      </c>
      <c r="B68" s="11" t="s">
        <v>126</v>
      </c>
      <c r="C68" s="20"/>
      <c r="D68" s="20">
        <v>2.0622186</v>
      </c>
      <c r="E68" s="20"/>
      <c r="F68" s="20"/>
      <c r="G68" s="20"/>
      <c r="H68" s="20"/>
      <c r="I68" s="20"/>
      <c r="J68" s="20"/>
      <c r="K68" s="20"/>
      <c r="L68" s="20"/>
      <c r="M68" s="20"/>
      <c r="N68" s="18" t="s">
        <v>195</v>
      </c>
    </row>
    <row r="69" spans="1:26" x14ac:dyDescent="0.25">
      <c r="A69" s="11">
        <v>2005</v>
      </c>
      <c r="B69" s="11" t="s">
        <v>126</v>
      </c>
      <c r="C69" s="20"/>
      <c r="D69" s="20"/>
      <c r="E69" s="20">
        <v>1.1136194000000001</v>
      </c>
      <c r="F69" s="20"/>
      <c r="G69" s="20"/>
      <c r="H69" s="20"/>
      <c r="I69" s="20"/>
      <c r="J69" s="20"/>
      <c r="K69" s="20"/>
      <c r="L69" s="20"/>
      <c r="M69" s="20"/>
      <c r="N69" s="18" t="s">
        <v>195</v>
      </c>
    </row>
    <row r="70" spans="1:26" x14ac:dyDescent="0.25">
      <c r="A70" s="11">
        <v>1993</v>
      </c>
      <c r="B70" s="11" t="s">
        <v>40</v>
      </c>
      <c r="C70" s="20"/>
      <c r="D70" s="20"/>
      <c r="E70" s="20"/>
      <c r="F70" s="20">
        <v>0.4</v>
      </c>
      <c r="G70" s="20"/>
      <c r="H70" s="20"/>
      <c r="I70" s="20"/>
      <c r="J70" s="20"/>
      <c r="K70" s="20"/>
      <c r="L70" s="20"/>
      <c r="M70" s="20"/>
      <c r="N70" s="18" t="s">
        <v>213</v>
      </c>
    </row>
    <row r="71" spans="1:26" x14ac:dyDescent="0.25">
      <c r="A71" s="11">
        <v>2005</v>
      </c>
      <c r="B71" s="11" t="s">
        <v>126</v>
      </c>
      <c r="C71" s="20"/>
      <c r="D71" s="20"/>
      <c r="E71" s="20"/>
      <c r="F71" s="22">
        <f>0.049*(0.8*20.08+0.2*1.97)+0.15*0.0034</f>
        <v>0.806952</v>
      </c>
      <c r="G71" s="20"/>
      <c r="H71" s="20"/>
      <c r="I71" s="20"/>
      <c r="J71" s="20"/>
      <c r="K71" s="20"/>
      <c r="L71" s="20"/>
      <c r="M71" s="20"/>
      <c r="N71" s="18" t="s">
        <v>195</v>
      </c>
    </row>
    <row r="72" spans="1:26" x14ac:dyDescent="0.25">
      <c r="A72" s="11">
        <v>2011</v>
      </c>
      <c r="B72" s="11" t="s">
        <v>141</v>
      </c>
      <c r="C72" s="20"/>
      <c r="D72" s="20"/>
      <c r="E72" s="20"/>
      <c r="F72" s="22">
        <f>0.23/2</f>
        <v>0.115</v>
      </c>
      <c r="G72" s="20"/>
      <c r="H72" s="20"/>
      <c r="I72" s="20"/>
      <c r="J72" s="20"/>
      <c r="K72" s="20"/>
      <c r="L72" s="20"/>
      <c r="M72" s="20"/>
      <c r="N72" s="18" t="s">
        <v>209</v>
      </c>
    </row>
    <row r="73" spans="1:26" x14ac:dyDescent="0.25">
      <c r="A73" s="11">
        <v>1993</v>
      </c>
      <c r="B73" s="11" t="s">
        <v>40</v>
      </c>
      <c r="C73" s="20"/>
      <c r="D73" s="20"/>
      <c r="E73" s="20"/>
      <c r="F73" s="20"/>
      <c r="G73" s="20">
        <v>0.25</v>
      </c>
      <c r="H73" s="20"/>
      <c r="I73" s="20"/>
      <c r="J73" s="20"/>
      <c r="K73" s="20"/>
      <c r="L73" s="20"/>
      <c r="M73" s="20"/>
      <c r="N73" s="18" t="s">
        <v>213</v>
      </c>
    </row>
    <row r="74" spans="1:26" x14ac:dyDescent="0.25">
      <c r="A74" s="11">
        <v>1993</v>
      </c>
      <c r="B74" s="11" t="s">
        <v>40</v>
      </c>
      <c r="C74" s="20"/>
      <c r="D74" s="20"/>
      <c r="E74" s="20"/>
      <c r="F74" s="20"/>
      <c r="G74" s="20"/>
      <c r="H74" s="20">
        <v>0.25</v>
      </c>
      <c r="I74" s="20"/>
      <c r="J74" s="20"/>
      <c r="K74" s="20"/>
      <c r="L74" s="20"/>
      <c r="M74" s="20"/>
      <c r="N74" s="18" t="s">
        <v>213</v>
      </c>
    </row>
    <row r="75" spans="1:26" x14ac:dyDescent="0.25">
      <c r="A75" s="11">
        <v>2011</v>
      </c>
      <c r="B75" s="11" t="s">
        <v>141</v>
      </c>
      <c r="C75" s="20"/>
      <c r="D75" s="20"/>
      <c r="E75" s="20"/>
      <c r="F75" s="20"/>
      <c r="G75" s="20"/>
      <c r="H75" s="20"/>
      <c r="I75" s="20">
        <v>0.08</v>
      </c>
      <c r="J75" s="20"/>
      <c r="K75" s="20"/>
      <c r="L75" s="20"/>
      <c r="M75" s="20"/>
      <c r="N75" s="18" t="s">
        <v>209</v>
      </c>
    </row>
    <row r="76" spans="1:26" x14ac:dyDescent="0.25">
      <c r="A76" s="11">
        <v>1993</v>
      </c>
      <c r="B76" s="11" t="s">
        <v>40</v>
      </c>
      <c r="C76" s="20"/>
      <c r="D76" s="20"/>
      <c r="E76" s="20"/>
      <c r="F76" s="20"/>
      <c r="G76" s="20"/>
      <c r="H76" s="20"/>
      <c r="I76" s="20"/>
      <c r="J76" s="20">
        <v>0.25</v>
      </c>
      <c r="K76" s="20"/>
      <c r="L76" s="20"/>
      <c r="M76" s="20"/>
      <c r="N76" s="18" t="s">
        <v>213</v>
      </c>
    </row>
    <row r="77" spans="1:26" x14ac:dyDescent="0.25">
      <c r="A77" s="11">
        <v>1993</v>
      </c>
      <c r="B77" s="11" t="s">
        <v>40</v>
      </c>
      <c r="C77" s="20"/>
      <c r="D77" s="20"/>
      <c r="E77" s="20"/>
      <c r="F77" s="20"/>
      <c r="G77" s="20"/>
      <c r="H77" s="20"/>
      <c r="I77" s="20"/>
      <c r="J77" s="20"/>
      <c r="K77" s="20">
        <v>0.25</v>
      </c>
      <c r="L77" s="20"/>
      <c r="M77" s="20"/>
      <c r="N77" s="18" t="s">
        <v>213</v>
      </c>
    </row>
    <row r="78" spans="1:26" x14ac:dyDescent="0.25">
      <c r="A78" s="22">
        <v>1993</v>
      </c>
      <c r="B78" s="22" t="s">
        <v>40</v>
      </c>
      <c r="C78" s="20"/>
      <c r="D78" s="20"/>
      <c r="E78" s="20"/>
      <c r="F78" s="20"/>
      <c r="G78" s="20"/>
      <c r="H78" s="20"/>
      <c r="I78" s="20"/>
      <c r="J78" s="20"/>
      <c r="K78" s="20"/>
      <c r="L78" s="20">
        <v>0.35</v>
      </c>
      <c r="M78" s="20"/>
      <c r="N78" s="18" t="s">
        <v>213</v>
      </c>
    </row>
    <row r="79" spans="1:26" x14ac:dyDescent="0.25">
      <c r="A79" s="11">
        <v>1993</v>
      </c>
      <c r="B79" s="11" t="s">
        <v>40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>
        <v>0.5</v>
      </c>
      <c r="N79" s="18" t="s">
        <v>213</v>
      </c>
    </row>
    <row r="80" spans="1:26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14" x14ac:dyDescent="0.25">
      <c r="A81" s="11" t="s">
        <v>45</v>
      </c>
      <c r="B81" s="11" t="s">
        <v>212</v>
      </c>
      <c r="C81" s="19" t="s">
        <v>208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22"/>
    </row>
    <row r="82" spans="1:14" x14ac:dyDescent="0.25">
      <c r="A82" s="18" t="s">
        <v>17</v>
      </c>
      <c r="B82" s="11" t="s">
        <v>225</v>
      </c>
      <c r="C82" s="20" t="s">
        <v>216</v>
      </c>
      <c r="D82" s="20" t="s">
        <v>218</v>
      </c>
      <c r="E82" s="20" t="s">
        <v>219</v>
      </c>
      <c r="F82" s="20" t="s">
        <v>221</v>
      </c>
      <c r="G82" s="20" t="s">
        <v>222</v>
      </c>
      <c r="H82" s="20" t="s">
        <v>227</v>
      </c>
      <c r="I82" s="20" t="s">
        <v>228</v>
      </c>
      <c r="J82" s="20" t="s">
        <v>224</v>
      </c>
      <c r="K82" s="20" t="s">
        <v>229</v>
      </c>
      <c r="L82" s="20" t="s">
        <v>230</v>
      </c>
      <c r="M82" s="20" t="s">
        <v>231</v>
      </c>
      <c r="N82" s="23" t="s">
        <v>226</v>
      </c>
    </row>
    <row r="83" spans="1:14" x14ac:dyDescent="0.25">
      <c r="A83" s="18">
        <v>2005</v>
      </c>
      <c r="B83" s="11" t="s">
        <v>126</v>
      </c>
      <c r="C83" s="20">
        <v>30.1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3" t="s">
        <v>195</v>
      </c>
    </row>
    <row r="84" spans="1:14" x14ac:dyDescent="0.25">
      <c r="A84" s="18">
        <v>2013</v>
      </c>
      <c r="B84" s="11" t="s">
        <v>27</v>
      </c>
      <c r="C84" s="20">
        <v>9.3000000000000007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3" t="s">
        <v>209</v>
      </c>
    </row>
    <row r="85" spans="1:14" x14ac:dyDescent="0.25">
      <c r="A85" s="18">
        <v>2005</v>
      </c>
      <c r="B85" s="11" t="s">
        <v>126</v>
      </c>
      <c r="C85" s="20"/>
      <c r="D85" s="20">
        <v>28.6</v>
      </c>
      <c r="E85" s="20"/>
      <c r="F85" s="20"/>
      <c r="G85" s="20"/>
      <c r="H85" s="20"/>
      <c r="I85" s="20"/>
      <c r="J85" s="20"/>
      <c r="K85" s="20"/>
      <c r="L85" s="20"/>
      <c r="M85" s="20"/>
      <c r="N85" s="23" t="s">
        <v>195</v>
      </c>
    </row>
    <row r="86" spans="1:14" x14ac:dyDescent="0.25">
      <c r="A86" s="18">
        <v>2013</v>
      </c>
      <c r="B86" s="11" t="s">
        <v>27</v>
      </c>
      <c r="C86" s="20"/>
      <c r="D86" s="20">
        <v>9.1999999999999993</v>
      </c>
      <c r="E86" s="20"/>
      <c r="F86" s="20"/>
      <c r="G86" s="20"/>
      <c r="H86" s="20"/>
      <c r="I86" s="20"/>
      <c r="J86" s="20"/>
      <c r="K86" s="20"/>
      <c r="L86" s="20"/>
      <c r="M86" s="20"/>
      <c r="N86" s="23" t="s">
        <v>209</v>
      </c>
    </row>
    <row r="87" spans="1:14" x14ac:dyDescent="0.25">
      <c r="A87" s="18">
        <v>2005</v>
      </c>
      <c r="B87" s="11" t="s">
        <v>126</v>
      </c>
      <c r="C87" s="20"/>
      <c r="D87" s="20"/>
      <c r="E87" s="20">
        <v>27.3</v>
      </c>
      <c r="F87" s="20"/>
      <c r="G87" s="20"/>
      <c r="H87" s="20"/>
      <c r="I87" s="20"/>
      <c r="J87" s="20"/>
      <c r="K87" s="20"/>
      <c r="L87" s="20"/>
      <c r="M87" s="20"/>
      <c r="N87" s="23" t="s">
        <v>195</v>
      </c>
    </row>
    <row r="88" spans="1:14" x14ac:dyDescent="0.25">
      <c r="A88" s="18">
        <v>2013</v>
      </c>
      <c r="B88" s="11" t="s">
        <v>27</v>
      </c>
      <c r="C88" s="20"/>
      <c r="D88" s="20"/>
      <c r="E88" s="20">
        <v>9.1999999999999993</v>
      </c>
      <c r="F88" s="20"/>
      <c r="G88" s="20"/>
      <c r="H88" s="20"/>
      <c r="I88" s="20"/>
      <c r="J88" s="20"/>
      <c r="K88" s="20"/>
      <c r="L88" s="20"/>
      <c r="M88" s="20"/>
      <c r="N88" s="23" t="s">
        <v>209</v>
      </c>
    </row>
    <row r="89" spans="1:14" x14ac:dyDescent="0.25">
      <c r="A89" s="18">
        <v>1993</v>
      </c>
      <c r="B89" s="11" t="s">
        <v>40</v>
      </c>
      <c r="C89" s="20"/>
      <c r="D89" s="20"/>
      <c r="E89" s="20"/>
      <c r="F89" s="20">
        <v>26</v>
      </c>
      <c r="G89" s="20"/>
      <c r="H89" s="20"/>
      <c r="I89" s="20"/>
      <c r="J89" s="20"/>
      <c r="K89" s="20"/>
      <c r="L89" s="20"/>
      <c r="M89" s="20"/>
      <c r="N89" s="23" t="s">
        <v>213</v>
      </c>
    </row>
    <row r="90" spans="1:14" x14ac:dyDescent="0.25">
      <c r="A90" s="18">
        <v>2005</v>
      </c>
      <c r="B90" s="11" t="s">
        <v>126</v>
      </c>
      <c r="C90" s="20"/>
      <c r="D90" s="20"/>
      <c r="E90" s="20"/>
      <c r="F90" s="20">
        <v>26.1</v>
      </c>
      <c r="G90" s="20"/>
      <c r="H90" s="20"/>
      <c r="I90" s="20"/>
      <c r="J90" s="20"/>
      <c r="K90" s="20"/>
      <c r="L90" s="20"/>
      <c r="M90" s="20"/>
      <c r="N90" s="23" t="s">
        <v>195</v>
      </c>
    </row>
    <row r="91" spans="1:14" x14ac:dyDescent="0.25">
      <c r="A91" s="18">
        <v>2011</v>
      </c>
      <c r="B91" s="11" t="s">
        <v>141</v>
      </c>
      <c r="C91" s="20"/>
      <c r="D91" s="20"/>
      <c r="E91" s="20"/>
      <c r="F91" s="20">
        <v>14.15</v>
      </c>
      <c r="G91" s="20"/>
      <c r="H91" s="20"/>
      <c r="I91" s="20"/>
      <c r="J91" s="20"/>
      <c r="K91" s="20"/>
      <c r="L91" s="20"/>
      <c r="M91" s="20"/>
      <c r="N91" s="23" t="s">
        <v>209</v>
      </c>
    </row>
    <row r="92" spans="1:14" x14ac:dyDescent="0.25">
      <c r="A92" s="18">
        <v>2013</v>
      </c>
      <c r="B92" s="11" t="s">
        <v>27</v>
      </c>
      <c r="C92" s="20"/>
      <c r="D92" s="20"/>
      <c r="E92" s="20"/>
      <c r="F92" s="20">
        <v>9.15</v>
      </c>
      <c r="G92" s="20"/>
      <c r="H92" s="20"/>
      <c r="I92" s="20"/>
      <c r="J92" s="20"/>
      <c r="K92" s="20"/>
      <c r="L92" s="20"/>
      <c r="M92" s="20"/>
      <c r="N92" s="23" t="s">
        <v>209</v>
      </c>
    </row>
    <row r="93" spans="1:14" x14ac:dyDescent="0.25">
      <c r="A93" s="18">
        <v>1993</v>
      </c>
      <c r="B93" s="11" t="s">
        <v>40</v>
      </c>
      <c r="C93" s="20"/>
      <c r="D93" s="20"/>
      <c r="E93" s="20"/>
      <c r="F93" s="20"/>
      <c r="G93" s="20">
        <v>22.5</v>
      </c>
      <c r="H93" s="20"/>
      <c r="I93" s="20"/>
      <c r="J93" s="20"/>
      <c r="K93" s="20"/>
      <c r="L93" s="20"/>
      <c r="M93" s="20"/>
      <c r="N93" s="23" t="s">
        <v>213</v>
      </c>
    </row>
    <row r="94" spans="1:14" x14ac:dyDescent="0.25">
      <c r="A94" s="18">
        <v>1993</v>
      </c>
      <c r="B94" s="11" t="s">
        <v>40</v>
      </c>
      <c r="C94" s="20"/>
      <c r="D94" s="20"/>
      <c r="E94" s="20"/>
      <c r="F94" s="20"/>
      <c r="G94" s="20"/>
      <c r="H94" s="20">
        <v>20</v>
      </c>
      <c r="I94" s="20"/>
      <c r="J94" s="20"/>
      <c r="K94" s="20"/>
      <c r="L94" s="20"/>
      <c r="M94" s="20"/>
      <c r="N94" s="23" t="s">
        <v>213</v>
      </c>
    </row>
    <row r="95" spans="1:14" x14ac:dyDescent="0.25">
      <c r="A95" s="18">
        <v>2011</v>
      </c>
      <c r="B95" s="11" t="s">
        <v>141</v>
      </c>
      <c r="C95" s="20"/>
      <c r="D95" s="20"/>
      <c r="E95" s="20"/>
      <c r="F95" s="20"/>
      <c r="G95" s="20"/>
      <c r="H95" s="20"/>
      <c r="I95" s="20">
        <v>13</v>
      </c>
      <c r="J95" s="20"/>
      <c r="K95" s="20"/>
      <c r="L95" s="20"/>
      <c r="M95" s="20"/>
      <c r="N95" s="23" t="s">
        <v>209</v>
      </c>
    </row>
    <row r="96" spans="1:14" x14ac:dyDescent="0.25">
      <c r="A96" s="18">
        <v>1993</v>
      </c>
      <c r="B96" s="11" t="s">
        <v>40</v>
      </c>
      <c r="C96" s="20"/>
      <c r="D96" s="20"/>
      <c r="E96" s="20"/>
      <c r="F96" s="20"/>
      <c r="G96" s="20"/>
      <c r="H96" s="20"/>
      <c r="I96" s="20"/>
      <c r="J96" s="20">
        <v>18</v>
      </c>
      <c r="K96" s="20"/>
      <c r="L96" s="20"/>
      <c r="M96" s="20"/>
      <c r="N96" s="23" t="s">
        <v>213</v>
      </c>
    </row>
    <row r="97" spans="1:14" x14ac:dyDescent="0.25">
      <c r="A97" s="18">
        <v>1993</v>
      </c>
      <c r="B97" s="11" t="s">
        <v>40</v>
      </c>
      <c r="C97" s="20"/>
      <c r="D97" s="20"/>
      <c r="E97" s="20"/>
      <c r="F97" s="20"/>
      <c r="G97" s="20"/>
      <c r="H97" s="20"/>
      <c r="I97" s="20"/>
      <c r="J97" s="20"/>
      <c r="K97" s="20">
        <v>17.5</v>
      </c>
      <c r="L97" s="20"/>
      <c r="M97" s="20"/>
      <c r="N97" s="23" t="s">
        <v>213</v>
      </c>
    </row>
    <row r="98" spans="1:14" x14ac:dyDescent="0.25">
      <c r="A98" s="18">
        <v>1993</v>
      </c>
      <c r="B98" s="11" t="s">
        <v>40</v>
      </c>
      <c r="C98" s="20"/>
      <c r="D98" s="20"/>
      <c r="E98" s="20"/>
      <c r="F98" s="20"/>
      <c r="G98" s="20"/>
      <c r="H98" s="20"/>
      <c r="I98" s="20"/>
      <c r="J98" s="20"/>
      <c r="K98" s="20"/>
      <c r="L98" s="20">
        <v>16</v>
      </c>
      <c r="M98" s="20"/>
      <c r="N98" s="23" t="s">
        <v>213</v>
      </c>
    </row>
    <row r="99" spans="1:14" x14ac:dyDescent="0.25">
      <c r="A99" s="18">
        <v>1993</v>
      </c>
      <c r="B99" s="11" t="s">
        <v>40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>
        <v>15</v>
      </c>
      <c r="N99" s="23" t="s">
        <v>213</v>
      </c>
    </row>
    <row r="101" spans="1:14" x14ac:dyDescent="0.25">
      <c r="A101" s="24" t="s">
        <v>206</v>
      </c>
      <c r="B101" s="24" t="s">
        <v>207</v>
      </c>
      <c r="C101" s="24" t="s">
        <v>208</v>
      </c>
      <c r="D101" s="24"/>
      <c r="E101" s="24"/>
      <c r="F101" s="24"/>
      <c r="G101" s="24"/>
    </row>
    <row r="102" spans="1:14" x14ac:dyDescent="0.25">
      <c r="A102" s="24" t="s">
        <v>17</v>
      </c>
      <c r="B102" s="24" t="s">
        <v>225</v>
      </c>
      <c r="C102" s="25" t="s">
        <v>216</v>
      </c>
      <c r="D102" s="25" t="s">
        <v>218</v>
      </c>
      <c r="E102" s="25" t="s">
        <v>219</v>
      </c>
      <c r="F102" s="25" t="s">
        <v>221</v>
      </c>
      <c r="G102" s="25" t="s">
        <v>226</v>
      </c>
    </row>
    <row r="103" spans="1:14" x14ac:dyDescent="0.25">
      <c r="A103" s="24">
        <v>2005</v>
      </c>
      <c r="B103" s="28" t="s">
        <v>126</v>
      </c>
      <c r="C103" s="26">
        <v>1.27</v>
      </c>
      <c r="D103" s="26"/>
      <c r="E103" s="26"/>
      <c r="F103" s="26"/>
      <c r="G103" s="29" t="s">
        <v>195</v>
      </c>
    </row>
    <row r="104" spans="1:14" x14ac:dyDescent="0.25">
      <c r="A104" s="24">
        <v>2005</v>
      </c>
      <c r="B104" s="28" t="s">
        <v>126</v>
      </c>
      <c r="C104" s="26"/>
      <c r="D104" s="26">
        <v>0.39</v>
      </c>
      <c r="E104" s="26"/>
      <c r="F104" s="26"/>
      <c r="G104" s="29" t="s">
        <v>195</v>
      </c>
    </row>
    <row r="105" spans="1:14" x14ac:dyDescent="0.25">
      <c r="A105" s="24">
        <v>2005</v>
      </c>
      <c r="B105" s="28" t="s">
        <v>126</v>
      </c>
      <c r="C105" s="26"/>
      <c r="D105" s="26"/>
      <c r="E105" s="26">
        <v>0.21</v>
      </c>
      <c r="F105" s="26"/>
      <c r="G105" s="29" t="s">
        <v>195</v>
      </c>
    </row>
    <row r="106" spans="1:14" x14ac:dyDescent="0.25">
      <c r="A106" s="27">
        <v>2011</v>
      </c>
      <c r="B106" s="27" t="s">
        <v>141</v>
      </c>
      <c r="C106" s="26"/>
      <c r="D106" s="26"/>
      <c r="E106" s="26">
        <v>0.2</v>
      </c>
      <c r="F106" s="26"/>
      <c r="G106" s="29" t="s">
        <v>209</v>
      </c>
    </row>
    <row r="107" spans="1:14" x14ac:dyDescent="0.25">
      <c r="A107" s="27">
        <v>2011</v>
      </c>
      <c r="B107" s="27" t="s">
        <v>141</v>
      </c>
      <c r="C107" s="26"/>
      <c r="D107" s="26"/>
      <c r="E107" s="26">
        <v>0.15</v>
      </c>
      <c r="F107" s="26"/>
      <c r="G107" s="29" t="s">
        <v>209</v>
      </c>
    </row>
    <row r="108" spans="1:14" x14ac:dyDescent="0.25">
      <c r="A108" s="24">
        <v>2005</v>
      </c>
      <c r="B108" s="28" t="s">
        <v>126</v>
      </c>
      <c r="C108" s="26"/>
      <c r="D108" s="26"/>
      <c r="E108" s="26"/>
      <c r="F108" s="26">
        <v>0.15</v>
      </c>
      <c r="G108" s="29" t="s">
        <v>195</v>
      </c>
    </row>
    <row r="110" spans="1:14" x14ac:dyDescent="0.25">
      <c r="A110" s="24" t="s">
        <v>206</v>
      </c>
      <c r="B110" s="24" t="s">
        <v>212</v>
      </c>
      <c r="C110" s="24" t="s">
        <v>208</v>
      </c>
      <c r="D110" s="24"/>
      <c r="E110" s="24"/>
      <c r="F110" s="24"/>
      <c r="G110" s="24"/>
    </row>
    <row r="111" spans="1:14" x14ac:dyDescent="0.25">
      <c r="A111" s="24" t="s">
        <v>17</v>
      </c>
      <c r="B111" s="24" t="s">
        <v>225</v>
      </c>
      <c r="C111" s="25" t="s">
        <v>216</v>
      </c>
      <c r="D111" s="25" t="s">
        <v>218</v>
      </c>
      <c r="E111" s="25" t="s">
        <v>219</v>
      </c>
      <c r="F111" s="25" t="s">
        <v>221</v>
      </c>
      <c r="G111" s="25" t="s">
        <v>226</v>
      </c>
    </row>
    <row r="112" spans="1:14" x14ac:dyDescent="0.25">
      <c r="A112" s="24">
        <v>2005</v>
      </c>
      <c r="B112" s="28" t="s">
        <v>126</v>
      </c>
      <c r="C112" s="26">
        <v>13.4</v>
      </c>
      <c r="D112" s="26"/>
      <c r="E112" s="26"/>
      <c r="F112" s="26"/>
      <c r="G112" s="29" t="s">
        <v>195</v>
      </c>
    </row>
    <row r="113" spans="1:28" x14ac:dyDescent="0.25">
      <c r="A113" s="24">
        <v>2005</v>
      </c>
      <c r="B113" s="28" t="s">
        <v>126</v>
      </c>
      <c r="C113" s="26"/>
      <c r="D113" s="26">
        <v>12.9</v>
      </c>
      <c r="E113" s="26"/>
      <c r="F113" s="26"/>
      <c r="G113" s="29" t="s">
        <v>195</v>
      </c>
    </row>
    <row r="114" spans="1:28" x14ac:dyDescent="0.25">
      <c r="A114" s="24">
        <v>2005</v>
      </c>
      <c r="B114" s="28" t="s">
        <v>126</v>
      </c>
      <c r="C114" s="26"/>
      <c r="D114" s="26"/>
      <c r="E114" s="26">
        <v>12.4</v>
      </c>
      <c r="F114" s="26"/>
      <c r="G114" s="29" t="s">
        <v>195</v>
      </c>
    </row>
    <row r="115" spans="1:28" x14ac:dyDescent="0.25">
      <c r="A115" s="27">
        <v>2011</v>
      </c>
      <c r="B115" s="27" t="s">
        <v>141</v>
      </c>
      <c r="C115" s="26"/>
      <c r="D115" s="26"/>
      <c r="E115" s="26">
        <v>9.5</v>
      </c>
      <c r="F115" s="26"/>
      <c r="G115" s="29" t="s">
        <v>209</v>
      </c>
    </row>
    <row r="116" spans="1:28" x14ac:dyDescent="0.25">
      <c r="A116" s="27">
        <v>2011</v>
      </c>
      <c r="B116" s="27" t="s">
        <v>141</v>
      </c>
      <c r="C116" s="26"/>
      <c r="D116" s="26"/>
      <c r="E116" s="26">
        <v>10.27</v>
      </c>
      <c r="F116" s="26"/>
      <c r="G116" s="29" t="s">
        <v>209</v>
      </c>
    </row>
    <row r="117" spans="1:28" x14ac:dyDescent="0.25">
      <c r="A117" s="24">
        <v>2005</v>
      </c>
      <c r="B117" s="28" t="s">
        <v>126</v>
      </c>
      <c r="C117" s="26"/>
      <c r="D117" s="26"/>
      <c r="E117" s="26"/>
      <c r="F117" s="26">
        <v>11.9</v>
      </c>
      <c r="G117" s="29" t="s">
        <v>195</v>
      </c>
    </row>
    <row r="119" spans="1:28" x14ac:dyDescent="0.25">
      <c r="A119" s="30" t="s">
        <v>46</v>
      </c>
      <c r="B119" s="30" t="s">
        <v>207</v>
      </c>
      <c r="C119" s="31" t="s">
        <v>208</v>
      </c>
      <c r="D119" s="31"/>
      <c r="E119" s="31"/>
      <c r="F119" s="31"/>
      <c r="G119" s="31"/>
      <c r="H119" s="15"/>
      <c r="I119" s="15"/>
      <c r="J119" s="15"/>
      <c r="K119" s="15"/>
      <c r="L119" s="15"/>
      <c r="M119" s="15"/>
    </row>
    <row r="120" spans="1:28" x14ac:dyDescent="0.25">
      <c r="A120" s="30" t="s">
        <v>17</v>
      </c>
      <c r="B120" s="32" t="s">
        <v>225</v>
      </c>
      <c r="C120" s="17" t="s">
        <v>232</v>
      </c>
      <c r="D120" s="17" t="s">
        <v>233</v>
      </c>
      <c r="E120" s="17" t="s">
        <v>219</v>
      </c>
      <c r="F120" s="17" t="s">
        <v>220</v>
      </c>
      <c r="G120" s="17" t="s">
        <v>234</v>
      </c>
      <c r="H120" s="17" t="s">
        <v>228</v>
      </c>
      <c r="I120" s="17" t="s">
        <v>235</v>
      </c>
      <c r="J120" s="17" t="s">
        <v>236</v>
      </c>
      <c r="K120" s="17" t="s">
        <v>237</v>
      </c>
      <c r="L120" s="17" t="s">
        <v>238</v>
      </c>
      <c r="M120" s="17" t="s">
        <v>226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Z120" s="1"/>
      <c r="AA120" s="1"/>
      <c r="AB120" s="1"/>
    </row>
    <row r="121" spans="1:28" x14ac:dyDescent="0.25">
      <c r="A121" s="15">
        <v>2011</v>
      </c>
      <c r="B121" s="15" t="s">
        <v>141</v>
      </c>
      <c r="C121" s="17">
        <v>1.76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7" t="s">
        <v>209</v>
      </c>
    </row>
    <row r="122" spans="1:28" x14ac:dyDescent="0.25">
      <c r="A122" s="15">
        <v>2011</v>
      </c>
      <c r="B122" s="15" t="s">
        <v>141</v>
      </c>
      <c r="C122" s="17"/>
      <c r="D122" s="17">
        <v>1.93</v>
      </c>
      <c r="E122" s="17"/>
      <c r="F122" s="17"/>
      <c r="G122" s="17"/>
      <c r="H122" s="17"/>
      <c r="I122" s="17"/>
      <c r="J122" s="17"/>
      <c r="K122" s="17"/>
      <c r="L122" s="17"/>
      <c r="M122" s="17" t="s">
        <v>209</v>
      </c>
    </row>
    <row r="123" spans="1:28" x14ac:dyDescent="0.25">
      <c r="A123" s="15">
        <v>1990</v>
      </c>
      <c r="B123" s="15" t="s">
        <v>31</v>
      </c>
      <c r="C123" s="17"/>
      <c r="D123" s="17"/>
      <c r="E123" s="17">
        <v>0.64</v>
      </c>
      <c r="F123" s="17"/>
      <c r="G123" s="17"/>
      <c r="H123" s="17"/>
      <c r="I123" s="17"/>
      <c r="J123" s="17"/>
      <c r="K123" s="17"/>
      <c r="L123" s="17"/>
      <c r="M123" s="17" t="s">
        <v>213</v>
      </c>
    </row>
    <row r="124" spans="1:28" x14ac:dyDescent="0.25">
      <c r="A124" s="15">
        <v>1990</v>
      </c>
      <c r="B124" s="15" t="s">
        <v>31</v>
      </c>
      <c r="C124" s="17"/>
      <c r="D124" s="17"/>
      <c r="E124" s="17">
        <v>0.65</v>
      </c>
      <c r="F124" s="17"/>
      <c r="G124" s="17"/>
      <c r="H124" s="17"/>
      <c r="I124" s="17"/>
      <c r="J124" s="17"/>
      <c r="K124" s="17"/>
      <c r="L124" s="17"/>
      <c r="M124" s="17" t="s">
        <v>209</v>
      </c>
    </row>
    <row r="125" spans="1:28" x14ac:dyDescent="0.25">
      <c r="A125" s="15">
        <v>2011</v>
      </c>
      <c r="B125" s="15" t="s">
        <v>141</v>
      </c>
      <c r="C125" s="17"/>
      <c r="D125" s="17"/>
      <c r="E125" s="17">
        <f>0.52/2</f>
        <v>0.26</v>
      </c>
      <c r="F125" s="17"/>
      <c r="G125" s="17"/>
      <c r="H125" s="17"/>
      <c r="I125" s="17"/>
      <c r="J125" s="17"/>
      <c r="K125" s="17"/>
      <c r="L125" s="17"/>
      <c r="M125" s="17" t="s">
        <v>209</v>
      </c>
    </row>
    <row r="126" spans="1:28" x14ac:dyDescent="0.25">
      <c r="A126" s="15">
        <v>1990</v>
      </c>
      <c r="B126" s="15" t="s">
        <v>31</v>
      </c>
      <c r="C126" s="17"/>
      <c r="D126" s="17"/>
      <c r="E126" s="17"/>
      <c r="F126" s="17">
        <v>2.02</v>
      </c>
      <c r="G126" s="17"/>
      <c r="H126" s="17"/>
      <c r="I126" s="17"/>
      <c r="J126" s="17"/>
      <c r="K126" s="17"/>
      <c r="L126" s="17"/>
      <c r="M126" s="17" t="s">
        <v>239</v>
      </c>
    </row>
    <row r="127" spans="1:28" x14ac:dyDescent="0.25">
      <c r="A127" s="15">
        <v>1990</v>
      </c>
      <c r="B127" s="15" t="s">
        <v>31</v>
      </c>
      <c r="C127" s="34"/>
      <c r="D127" s="17"/>
      <c r="E127" s="17"/>
      <c r="F127" s="17">
        <v>1.65</v>
      </c>
      <c r="G127" s="17"/>
      <c r="H127" s="17"/>
      <c r="I127" s="17"/>
      <c r="J127" s="17"/>
      <c r="K127" s="17"/>
      <c r="L127" s="17"/>
      <c r="M127" s="17" t="s">
        <v>239</v>
      </c>
    </row>
    <row r="128" spans="1:28" x14ac:dyDescent="0.25">
      <c r="A128" s="15">
        <v>1990</v>
      </c>
      <c r="B128" s="15" t="s">
        <v>31</v>
      </c>
      <c r="C128" s="34"/>
      <c r="D128" s="17"/>
      <c r="E128" s="17"/>
      <c r="F128" s="17">
        <v>0.19</v>
      </c>
      <c r="G128" s="17"/>
      <c r="H128" s="17"/>
      <c r="I128" s="17"/>
      <c r="J128" s="17"/>
      <c r="K128" s="17"/>
      <c r="L128" s="17"/>
      <c r="M128" s="17" t="s">
        <v>211</v>
      </c>
    </row>
    <row r="129" spans="1:28" x14ac:dyDescent="0.25">
      <c r="A129" s="15">
        <v>1990</v>
      </c>
      <c r="B129" s="15" t="s">
        <v>31</v>
      </c>
      <c r="C129" s="34"/>
      <c r="D129" s="17"/>
      <c r="E129" s="17"/>
      <c r="F129" s="17">
        <v>0.26</v>
      </c>
      <c r="G129" s="17"/>
      <c r="H129" s="17"/>
      <c r="I129" s="17"/>
      <c r="J129" s="17"/>
      <c r="K129" s="17"/>
      <c r="L129" s="17"/>
      <c r="M129" s="17" t="s">
        <v>213</v>
      </c>
    </row>
    <row r="130" spans="1:28" x14ac:dyDescent="0.25">
      <c r="A130" s="15">
        <v>1990</v>
      </c>
      <c r="B130" s="15" t="s">
        <v>31</v>
      </c>
      <c r="C130" s="34"/>
      <c r="D130" s="17"/>
      <c r="E130" s="17"/>
      <c r="F130" s="17">
        <v>1.58</v>
      </c>
      <c r="G130" s="17"/>
      <c r="H130" s="17"/>
      <c r="I130" s="17"/>
      <c r="J130" s="17"/>
      <c r="K130" s="17"/>
      <c r="L130" s="17"/>
      <c r="M130" s="17" t="s">
        <v>209</v>
      </c>
    </row>
    <row r="131" spans="1:28" x14ac:dyDescent="0.25">
      <c r="A131" s="15">
        <v>1990</v>
      </c>
      <c r="B131" s="15" t="s">
        <v>31</v>
      </c>
      <c r="C131" s="34"/>
      <c r="D131" s="17"/>
      <c r="E131" s="17"/>
      <c r="F131" s="17">
        <v>2.63</v>
      </c>
      <c r="G131" s="17"/>
      <c r="H131" s="17"/>
      <c r="I131" s="17"/>
      <c r="J131" s="17"/>
      <c r="K131" s="17"/>
      <c r="L131" s="17"/>
      <c r="M131" s="17" t="s">
        <v>209</v>
      </c>
    </row>
    <row r="132" spans="1:28" x14ac:dyDescent="0.25">
      <c r="A132" s="15">
        <v>2011</v>
      </c>
      <c r="B132" s="15" t="s">
        <v>192</v>
      </c>
      <c r="C132" s="34"/>
      <c r="D132" s="17"/>
      <c r="E132" s="17"/>
      <c r="F132" s="17"/>
      <c r="G132" s="17">
        <v>2.5</v>
      </c>
      <c r="H132" s="17"/>
      <c r="I132" s="17"/>
      <c r="J132" s="17"/>
      <c r="K132" s="17"/>
      <c r="L132" s="17"/>
      <c r="M132" s="17" t="s">
        <v>209</v>
      </c>
    </row>
    <row r="133" spans="1:28" x14ac:dyDescent="0.25">
      <c r="A133" s="15">
        <v>2011</v>
      </c>
      <c r="B133" s="15" t="s">
        <v>192</v>
      </c>
      <c r="C133" s="34"/>
      <c r="D133" s="17"/>
      <c r="E133" s="17"/>
      <c r="F133" s="17"/>
      <c r="G133" s="17">
        <v>0.2</v>
      </c>
      <c r="H133" s="17"/>
      <c r="I133" s="17"/>
      <c r="J133" s="17"/>
      <c r="K133" s="17"/>
      <c r="L133" s="17"/>
      <c r="M133" s="17" t="s">
        <v>209</v>
      </c>
    </row>
    <row r="134" spans="1:28" x14ac:dyDescent="0.25">
      <c r="A134" s="15">
        <v>2011</v>
      </c>
      <c r="B134" s="15" t="s">
        <v>141</v>
      </c>
      <c r="C134" s="34"/>
      <c r="D134" s="17"/>
      <c r="E134" s="17"/>
      <c r="F134" s="17"/>
      <c r="G134" s="17"/>
      <c r="H134" s="17">
        <f>0.28/2</f>
        <v>0.14000000000000001</v>
      </c>
      <c r="I134" s="17"/>
      <c r="J134" s="17"/>
      <c r="K134" s="17"/>
      <c r="L134" s="17"/>
      <c r="M134" s="17" t="s">
        <v>209</v>
      </c>
    </row>
    <row r="135" spans="1:28" x14ac:dyDescent="0.25">
      <c r="A135" s="15">
        <v>2011</v>
      </c>
      <c r="B135" s="15" t="s">
        <v>141</v>
      </c>
      <c r="C135" s="34"/>
      <c r="D135" s="17"/>
      <c r="E135" s="17"/>
      <c r="F135" s="17"/>
      <c r="G135" s="17"/>
      <c r="H135" s="17"/>
      <c r="I135" s="17">
        <f>0.167/2</f>
        <v>8.3500000000000005E-2</v>
      </c>
      <c r="J135" s="17"/>
      <c r="K135" s="17"/>
      <c r="L135" s="17"/>
      <c r="M135" s="17" t="s">
        <v>209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15">
        <v>2011</v>
      </c>
      <c r="B136" s="15" t="s">
        <v>192</v>
      </c>
      <c r="C136" s="34"/>
      <c r="D136" s="17"/>
      <c r="E136" s="17"/>
      <c r="F136" s="17"/>
      <c r="G136" s="17"/>
      <c r="H136" s="17"/>
      <c r="I136" s="17"/>
      <c r="J136" s="17">
        <v>0.2</v>
      </c>
      <c r="K136" s="17"/>
      <c r="L136" s="17"/>
      <c r="M136" s="17" t="s">
        <v>209</v>
      </c>
    </row>
    <row r="137" spans="1:28" x14ac:dyDescent="0.25">
      <c r="A137" s="15">
        <v>2011</v>
      </c>
      <c r="B137" s="15" t="s">
        <v>192</v>
      </c>
      <c r="C137" s="34"/>
      <c r="D137" s="17"/>
      <c r="E137" s="17"/>
      <c r="F137" s="17"/>
      <c r="G137" s="17"/>
      <c r="H137" s="17"/>
      <c r="I137" s="17"/>
      <c r="J137" s="17"/>
      <c r="K137" s="17">
        <v>0.95</v>
      </c>
      <c r="L137" s="17"/>
      <c r="M137" s="17" t="s">
        <v>209</v>
      </c>
    </row>
    <row r="138" spans="1:28" x14ac:dyDescent="0.25">
      <c r="A138" s="15">
        <v>2011</v>
      </c>
      <c r="B138" s="15" t="s">
        <v>192</v>
      </c>
      <c r="C138" s="34"/>
      <c r="D138" s="17"/>
      <c r="E138" s="17"/>
      <c r="F138" s="17"/>
      <c r="G138" s="17"/>
      <c r="H138" s="17"/>
      <c r="I138" s="17"/>
      <c r="J138" s="17"/>
      <c r="K138" s="17"/>
      <c r="L138" s="17">
        <v>0.9</v>
      </c>
      <c r="M138" s="17" t="s">
        <v>209</v>
      </c>
    </row>
    <row r="140" spans="1:28" x14ac:dyDescent="0.25">
      <c r="A140" s="30" t="s">
        <v>46</v>
      </c>
      <c r="B140" s="30" t="s">
        <v>212</v>
      </c>
      <c r="C140" s="31" t="s">
        <v>208</v>
      </c>
      <c r="D140" s="31"/>
      <c r="E140" s="31"/>
      <c r="F140" s="31"/>
      <c r="G140" s="31"/>
      <c r="H140" s="15"/>
      <c r="I140" s="15"/>
      <c r="J140" s="15"/>
      <c r="K140" s="15"/>
      <c r="L140" s="15"/>
    </row>
    <row r="141" spans="1:28" x14ac:dyDescent="0.25">
      <c r="A141" s="30" t="s">
        <v>17</v>
      </c>
      <c r="B141" s="32" t="s">
        <v>225</v>
      </c>
      <c r="C141" s="17" t="s">
        <v>232</v>
      </c>
      <c r="D141" s="17" t="s">
        <v>233</v>
      </c>
      <c r="E141" s="17" t="s">
        <v>216</v>
      </c>
      <c r="F141" s="17" t="s">
        <v>218</v>
      </c>
      <c r="G141" s="17" t="s">
        <v>219</v>
      </c>
      <c r="H141" s="17" t="s">
        <v>220</v>
      </c>
      <c r="I141" s="17" t="s">
        <v>221</v>
      </c>
      <c r="J141" s="17" t="s">
        <v>228</v>
      </c>
      <c r="K141" s="17" t="s">
        <v>235</v>
      </c>
      <c r="L141" s="17" t="s">
        <v>226</v>
      </c>
    </row>
    <row r="142" spans="1:28" x14ac:dyDescent="0.25">
      <c r="A142" s="15">
        <v>2011</v>
      </c>
      <c r="B142" s="15" t="s">
        <v>141</v>
      </c>
      <c r="C142" s="17">
        <v>37.29</v>
      </c>
      <c r="D142" s="17"/>
      <c r="E142" s="17"/>
      <c r="F142" s="17"/>
      <c r="G142" s="17"/>
      <c r="H142" s="17"/>
      <c r="I142" s="17"/>
      <c r="J142" s="17"/>
      <c r="K142" s="17"/>
      <c r="L142" s="17" t="s">
        <v>209</v>
      </c>
    </row>
    <row r="143" spans="1:28" x14ac:dyDescent="0.25">
      <c r="A143" s="15">
        <v>2011</v>
      </c>
      <c r="B143" s="15" t="s">
        <v>141</v>
      </c>
      <c r="C143" s="17"/>
      <c r="D143" s="17">
        <v>23.25</v>
      </c>
      <c r="E143" s="17"/>
      <c r="F143" s="17"/>
      <c r="G143" s="17"/>
      <c r="H143" s="17"/>
      <c r="I143" s="17"/>
      <c r="J143" s="17"/>
      <c r="K143" s="17"/>
      <c r="L143" s="17" t="s">
        <v>209</v>
      </c>
    </row>
    <row r="144" spans="1:28" x14ac:dyDescent="0.25">
      <c r="A144" s="15">
        <v>2013</v>
      </c>
      <c r="B144" s="15" t="s">
        <v>27</v>
      </c>
      <c r="C144" s="17"/>
      <c r="D144" s="17"/>
      <c r="E144" s="17">
        <v>10.31</v>
      </c>
      <c r="F144" s="17"/>
      <c r="G144" s="17"/>
      <c r="H144" s="17"/>
      <c r="I144" s="17"/>
      <c r="J144" s="17"/>
      <c r="K144" s="17"/>
      <c r="L144" s="17" t="s">
        <v>209</v>
      </c>
    </row>
    <row r="145" spans="1:12" x14ac:dyDescent="0.25">
      <c r="A145" s="15">
        <v>2013</v>
      </c>
      <c r="B145" s="15" t="s">
        <v>27</v>
      </c>
      <c r="C145" s="17"/>
      <c r="D145" s="17"/>
      <c r="E145" s="17">
        <v>10.5</v>
      </c>
      <c r="F145" s="17"/>
      <c r="G145" s="17"/>
      <c r="H145" s="17"/>
      <c r="I145" s="17"/>
      <c r="J145" s="17"/>
      <c r="K145" s="17"/>
      <c r="L145" s="17" t="s">
        <v>209</v>
      </c>
    </row>
    <row r="146" spans="1:12" x14ac:dyDescent="0.25">
      <c r="A146" s="15">
        <v>2013</v>
      </c>
      <c r="B146" s="15" t="s">
        <v>27</v>
      </c>
      <c r="C146" s="17"/>
      <c r="D146" s="17"/>
      <c r="E146" s="17">
        <v>16.399999999999999</v>
      </c>
      <c r="F146" s="17"/>
      <c r="G146" s="17"/>
      <c r="H146" s="17"/>
      <c r="I146" s="17"/>
      <c r="J146" s="17"/>
      <c r="K146" s="17"/>
      <c r="L146" s="17" t="s">
        <v>209</v>
      </c>
    </row>
    <row r="147" spans="1:12" x14ac:dyDescent="0.25">
      <c r="A147" s="15">
        <v>2013</v>
      </c>
      <c r="B147" s="15" t="s">
        <v>27</v>
      </c>
      <c r="C147" s="17"/>
      <c r="D147" s="17"/>
      <c r="E147" s="17">
        <v>17.54</v>
      </c>
      <c r="F147" s="17"/>
      <c r="G147" s="17"/>
      <c r="H147" s="17"/>
      <c r="I147" s="17"/>
      <c r="J147" s="17"/>
      <c r="K147" s="17"/>
      <c r="L147" s="17" t="s">
        <v>209</v>
      </c>
    </row>
    <row r="148" spans="1:12" x14ac:dyDescent="0.25">
      <c r="A148" s="15">
        <v>2013</v>
      </c>
      <c r="B148" s="15" t="s">
        <v>27</v>
      </c>
      <c r="C148" s="34"/>
      <c r="D148" s="17"/>
      <c r="E148" s="17"/>
      <c r="F148" s="17">
        <v>10.199999999999999</v>
      </c>
      <c r="G148" s="17"/>
      <c r="H148" s="17"/>
      <c r="I148" s="17"/>
      <c r="J148" s="17"/>
      <c r="K148" s="17"/>
      <c r="L148" s="17" t="s">
        <v>209</v>
      </c>
    </row>
    <row r="149" spans="1:12" x14ac:dyDescent="0.25">
      <c r="A149" s="15">
        <v>2013</v>
      </c>
      <c r="B149" s="15" t="s">
        <v>27</v>
      </c>
      <c r="C149" s="34"/>
      <c r="D149" s="17"/>
      <c r="E149" s="17"/>
      <c r="F149" s="17">
        <v>10.29</v>
      </c>
      <c r="G149" s="17"/>
      <c r="H149" s="17"/>
      <c r="I149" s="17"/>
      <c r="J149" s="17"/>
      <c r="K149" s="17"/>
      <c r="L149" s="17" t="s">
        <v>209</v>
      </c>
    </row>
    <row r="150" spans="1:12" x14ac:dyDescent="0.25">
      <c r="A150" s="15">
        <v>2013</v>
      </c>
      <c r="B150" s="15" t="s">
        <v>27</v>
      </c>
      <c r="C150" s="34"/>
      <c r="D150" s="17"/>
      <c r="E150" s="17"/>
      <c r="F150" s="17">
        <v>15.55099908246836</v>
      </c>
      <c r="G150" s="17"/>
      <c r="H150" s="17"/>
      <c r="I150" s="17"/>
      <c r="J150" s="17"/>
      <c r="K150" s="17"/>
      <c r="L150" s="17" t="s">
        <v>209</v>
      </c>
    </row>
    <row r="151" spans="1:12" x14ac:dyDescent="0.25">
      <c r="A151" s="15">
        <v>2013</v>
      </c>
      <c r="B151" s="15" t="s">
        <v>27</v>
      </c>
      <c r="C151" s="34"/>
      <c r="D151" s="17"/>
      <c r="E151" s="17"/>
      <c r="F151" s="17">
        <v>16.857065586254848</v>
      </c>
      <c r="G151" s="17"/>
      <c r="H151" s="17"/>
      <c r="I151" s="17"/>
      <c r="J151" s="17"/>
      <c r="K151" s="17"/>
      <c r="L151" s="17" t="s">
        <v>209</v>
      </c>
    </row>
    <row r="152" spans="1:12" x14ac:dyDescent="0.25">
      <c r="A152" s="15">
        <v>1990</v>
      </c>
      <c r="B152" s="15" t="s">
        <v>31</v>
      </c>
      <c r="C152" s="34"/>
      <c r="D152" s="17"/>
      <c r="E152" s="17"/>
      <c r="F152" s="17"/>
      <c r="G152" s="17">
        <v>52</v>
      </c>
      <c r="H152" s="17"/>
      <c r="I152" s="17"/>
      <c r="J152" s="17"/>
      <c r="K152" s="17"/>
      <c r="L152" s="17" t="s">
        <v>213</v>
      </c>
    </row>
    <row r="153" spans="1:12" x14ac:dyDescent="0.25">
      <c r="A153" s="15">
        <v>1990</v>
      </c>
      <c r="B153" s="15" t="s">
        <v>31</v>
      </c>
      <c r="C153" s="34"/>
      <c r="D153" s="17"/>
      <c r="E153" s="17"/>
      <c r="F153" s="17"/>
      <c r="G153" s="17">
        <v>35</v>
      </c>
      <c r="H153" s="17"/>
      <c r="I153" s="17"/>
      <c r="J153" s="17"/>
      <c r="K153" s="17"/>
      <c r="L153" s="17" t="s">
        <v>209</v>
      </c>
    </row>
    <row r="154" spans="1:12" x14ac:dyDescent="0.25">
      <c r="A154" s="15">
        <v>2011</v>
      </c>
      <c r="B154" s="15" t="s">
        <v>141</v>
      </c>
      <c r="C154" s="34"/>
      <c r="D154" s="17"/>
      <c r="E154" s="17"/>
      <c r="F154" s="17"/>
      <c r="G154" s="17">
        <v>12.844999999999999</v>
      </c>
      <c r="H154" s="17"/>
      <c r="I154" s="17"/>
      <c r="J154" s="17"/>
      <c r="K154" s="17"/>
      <c r="L154" s="17" t="s">
        <v>209</v>
      </c>
    </row>
    <row r="155" spans="1:12" x14ac:dyDescent="0.25">
      <c r="A155" s="15">
        <v>2013</v>
      </c>
      <c r="B155" s="15" t="s">
        <v>27</v>
      </c>
      <c r="C155" s="34"/>
      <c r="D155" s="17"/>
      <c r="E155" s="17"/>
      <c r="F155" s="17"/>
      <c r="G155" s="17">
        <v>10.09026880186463</v>
      </c>
      <c r="H155" s="17"/>
      <c r="I155" s="17"/>
      <c r="J155" s="17"/>
      <c r="K155" s="17"/>
      <c r="L155" s="17" t="s">
        <v>209</v>
      </c>
    </row>
    <row r="156" spans="1:12" x14ac:dyDescent="0.25">
      <c r="A156" s="15">
        <v>2013</v>
      </c>
      <c r="B156" s="15" t="s">
        <v>27</v>
      </c>
      <c r="C156" s="34"/>
      <c r="D156" s="17"/>
      <c r="E156" s="17"/>
      <c r="F156" s="17"/>
      <c r="G156" s="17">
        <v>10.095673379637487</v>
      </c>
      <c r="H156" s="17"/>
      <c r="I156" s="17"/>
      <c r="J156" s="17"/>
      <c r="K156" s="17"/>
      <c r="L156" s="17" t="s">
        <v>209</v>
      </c>
    </row>
    <row r="157" spans="1:12" x14ac:dyDescent="0.25">
      <c r="A157" s="15">
        <v>2013</v>
      </c>
      <c r="B157" s="15" t="s">
        <v>27</v>
      </c>
      <c r="C157" s="34"/>
      <c r="D157" s="17"/>
      <c r="E157" s="17"/>
      <c r="F157" s="17"/>
      <c r="G157" s="17">
        <v>14.754851466432093</v>
      </c>
      <c r="H157" s="17"/>
      <c r="I157" s="17"/>
      <c r="J157" s="17"/>
      <c r="K157" s="17"/>
      <c r="L157" s="17" t="s">
        <v>209</v>
      </c>
    </row>
    <row r="158" spans="1:12" x14ac:dyDescent="0.25">
      <c r="A158" s="15">
        <v>2013</v>
      </c>
      <c r="B158" s="15" t="s">
        <v>27</v>
      </c>
      <c r="C158" s="34"/>
      <c r="D158" s="17"/>
      <c r="E158" s="17"/>
      <c r="F158" s="17"/>
      <c r="G158" s="17">
        <v>16.21694781595922</v>
      </c>
      <c r="H158" s="17"/>
      <c r="I158" s="17"/>
      <c r="J158" s="17"/>
      <c r="K158" s="17"/>
      <c r="L158" s="17" t="s">
        <v>209</v>
      </c>
    </row>
    <row r="159" spans="1:12" x14ac:dyDescent="0.25">
      <c r="A159" s="15">
        <v>1990</v>
      </c>
      <c r="B159" s="15" t="s">
        <v>31</v>
      </c>
      <c r="C159" s="34"/>
      <c r="D159" s="17"/>
      <c r="E159" s="17"/>
      <c r="F159" s="17"/>
      <c r="G159" s="17"/>
      <c r="H159" s="17">
        <v>6.31</v>
      </c>
      <c r="I159" s="17"/>
      <c r="J159" s="17"/>
      <c r="K159" s="17"/>
      <c r="L159" s="17" t="s">
        <v>239</v>
      </c>
    </row>
    <row r="160" spans="1:12" x14ac:dyDescent="0.25">
      <c r="A160" s="15">
        <v>1990</v>
      </c>
      <c r="B160" s="15" t="s">
        <v>31</v>
      </c>
      <c r="C160" s="34"/>
      <c r="D160" s="17"/>
      <c r="E160" s="17"/>
      <c r="F160" s="17"/>
      <c r="G160" s="17"/>
      <c r="H160" s="17">
        <v>1.97</v>
      </c>
      <c r="I160" s="34"/>
      <c r="J160" s="17"/>
      <c r="K160" s="17"/>
      <c r="L160" s="17" t="s">
        <v>239</v>
      </c>
    </row>
    <row r="161" spans="1:35" x14ac:dyDescent="0.25">
      <c r="A161" s="15">
        <v>1990</v>
      </c>
      <c r="B161" s="15" t="s">
        <v>31</v>
      </c>
      <c r="C161" s="34"/>
      <c r="D161" s="17"/>
      <c r="E161" s="17"/>
      <c r="F161" s="17"/>
      <c r="G161" s="17"/>
      <c r="H161" s="17">
        <v>6.6</v>
      </c>
      <c r="I161" s="34"/>
      <c r="J161" s="17"/>
      <c r="K161" s="17"/>
      <c r="L161" s="17" t="s">
        <v>211</v>
      </c>
    </row>
    <row r="162" spans="1:35" x14ac:dyDescent="0.25">
      <c r="A162" s="15">
        <v>1990</v>
      </c>
      <c r="B162" s="15" t="s">
        <v>31</v>
      </c>
      <c r="C162" s="34"/>
      <c r="D162" s="17"/>
      <c r="E162" s="17"/>
      <c r="F162" s="17"/>
      <c r="G162" s="17"/>
      <c r="H162" s="34">
        <v>57</v>
      </c>
      <c r="I162" s="34"/>
      <c r="J162" s="17"/>
      <c r="K162" s="17"/>
      <c r="L162" s="17" t="s">
        <v>213</v>
      </c>
    </row>
    <row r="163" spans="1:35" x14ac:dyDescent="0.25">
      <c r="A163" s="15">
        <v>1990</v>
      </c>
      <c r="B163" s="15" t="s">
        <v>31</v>
      </c>
      <c r="C163" s="34"/>
      <c r="D163" s="17"/>
      <c r="E163" s="17"/>
      <c r="F163" s="17"/>
      <c r="G163" s="17"/>
      <c r="H163" s="34">
        <v>2.04</v>
      </c>
      <c r="I163" s="34"/>
      <c r="J163" s="17"/>
      <c r="K163" s="17"/>
      <c r="L163" s="17" t="s">
        <v>209</v>
      </c>
    </row>
    <row r="164" spans="1:35" x14ac:dyDescent="0.25">
      <c r="A164" s="15">
        <v>1990</v>
      </c>
      <c r="B164" s="15" t="s">
        <v>31</v>
      </c>
      <c r="C164" s="34"/>
      <c r="D164" s="17"/>
      <c r="E164" s="17"/>
      <c r="F164" s="17"/>
      <c r="G164" s="17"/>
      <c r="H164" s="34">
        <v>7.22</v>
      </c>
      <c r="I164" s="34"/>
      <c r="J164" s="17"/>
      <c r="K164" s="17"/>
      <c r="L164" s="17" t="s">
        <v>209</v>
      </c>
    </row>
    <row r="165" spans="1:35" x14ac:dyDescent="0.25">
      <c r="A165" s="15">
        <v>2013</v>
      </c>
      <c r="B165" s="15" t="s">
        <v>27</v>
      </c>
      <c r="C165" s="34"/>
      <c r="D165" s="17"/>
      <c r="E165" s="17"/>
      <c r="F165" s="17"/>
      <c r="G165" s="17"/>
      <c r="H165" s="34"/>
      <c r="I165" s="34">
        <v>9.9854908550458816</v>
      </c>
      <c r="J165" s="17"/>
      <c r="K165" s="17"/>
      <c r="L165" s="17" t="s">
        <v>209</v>
      </c>
    </row>
    <row r="166" spans="1:35" x14ac:dyDescent="0.25">
      <c r="A166" s="15">
        <v>2013</v>
      </c>
      <c r="B166" s="15" t="s">
        <v>27</v>
      </c>
      <c r="C166" s="34"/>
      <c r="D166" s="17"/>
      <c r="E166" s="17"/>
      <c r="F166" s="17"/>
      <c r="G166" s="17"/>
      <c r="H166" s="34"/>
      <c r="I166" s="34">
        <v>9.9078183240223865</v>
      </c>
      <c r="J166" s="17"/>
      <c r="K166" s="17"/>
      <c r="L166" s="17" t="s">
        <v>209</v>
      </c>
    </row>
    <row r="167" spans="1:35" x14ac:dyDescent="0.25">
      <c r="A167" s="15">
        <v>2013</v>
      </c>
      <c r="B167" s="15" t="s">
        <v>27</v>
      </c>
      <c r="C167" s="34"/>
      <c r="D167" s="17"/>
      <c r="E167" s="17"/>
      <c r="F167" s="17"/>
      <c r="G167" s="17"/>
      <c r="H167" s="34"/>
      <c r="I167" s="34">
        <v>14.022477086071893</v>
      </c>
      <c r="J167" s="17"/>
      <c r="K167" s="17"/>
      <c r="L167" s="17" t="s">
        <v>209</v>
      </c>
    </row>
    <row r="168" spans="1:35" x14ac:dyDescent="0.25">
      <c r="A168" s="15">
        <v>2013</v>
      </c>
      <c r="B168" s="15" t="s">
        <v>27</v>
      </c>
      <c r="C168" s="34"/>
      <c r="D168" s="17"/>
      <c r="E168" s="17"/>
      <c r="F168" s="17"/>
      <c r="G168" s="17"/>
      <c r="H168" s="34"/>
      <c r="I168" s="34">
        <v>15.620025933208947</v>
      </c>
      <c r="J168" s="17"/>
      <c r="K168" s="17"/>
      <c r="L168" s="17" t="s">
        <v>209</v>
      </c>
    </row>
    <row r="169" spans="1:35" x14ac:dyDescent="0.25">
      <c r="A169" s="15">
        <v>2011</v>
      </c>
      <c r="B169" s="15" t="s">
        <v>141</v>
      </c>
      <c r="C169" s="34"/>
      <c r="D169" s="17"/>
      <c r="E169" s="17"/>
      <c r="F169" s="17"/>
      <c r="G169" s="17"/>
      <c r="H169" s="34"/>
      <c r="I169" s="34"/>
      <c r="J169" s="17">
        <f>14.5/2</f>
        <v>7.25</v>
      </c>
      <c r="K169" s="17"/>
      <c r="L169" s="17" t="s">
        <v>209</v>
      </c>
    </row>
    <row r="170" spans="1:35" x14ac:dyDescent="0.25">
      <c r="A170" s="16">
        <v>2011</v>
      </c>
      <c r="B170" s="16" t="s">
        <v>141</v>
      </c>
      <c r="C170" s="34"/>
      <c r="D170" s="17"/>
      <c r="E170" s="17"/>
      <c r="F170" s="17"/>
      <c r="G170" s="17"/>
      <c r="H170" s="34"/>
      <c r="I170" s="34"/>
      <c r="J170" s="17"/>
      <c r="K170" s="17">
        <f>(8.42+9.16)/2</f>
        <v>8.7899999999999991</v>
      </c>
      <c r="L170" s="33" t="s">
        <v>209</v>
      </c>
    </row>
    <row r="172" spans="1:35" x14ac:dyDescent="0.25">
      <c r="A172" s="35" t="s">
        <v>47</v>
      </c>
      <c r="B172" s="35" t="s">
        <v>240</v>
      </c>
      <c r="C172" s="35" t="s">
        <v>208</v>
      </c>
      <c r="D172" s="35"/>
      <c r="E172" s="35"/>
      <c r="F172" s="35"/>
      <c r="G172" s="35"/>
      <c r="H172" s="35"/>
      <c r="I172" s="35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35" x14ac:dyDescent="0.25">
      <c r="A173" s="35" t="s">
        <v>17</v>
      </c>
      <c r="B173" s="35" t="s">
        <v>225</v>
      </c>
      <c r="C173" s="35" t="s">
        <v>216</v>
      </c>
      <c r="D173" s="35" t="s">
        <v>218</v>
      </c>
      <c r="E173" s="35" t="s">
        <v>219</v>
      </c>
      <c r="F173" s="35" t="s">
        <v>221</v>
      </c>
      <c r="G173" s="35" t="s">
        <v>241</v>
      </c>
      <c r="H173" s="35" t="s">
        <v>242</v>
      </c>
      <c r="I173" s="35" t="s">
        <v>226</v>
      </c>
    </row>
    <row r="174" spans="1:35" x14ac:dyDescent="0.25">
      <c r="A174" s="35">
        <v>2005</v>
      </c>
      <c r="B174" s="36" t="s">
        <v>126</v>
      </c>
      <c r="C174" s="36">
        <f>0.05*(0.75*151.7+0.25*77.13)+0.5*0.001351</f>
        <v>6.6535505000000006</v>
      </c>
      <c r="D174" s="36"/>
      <c r="E174" s="36"/>
      <c r="F174" s="36"/>
      <c r="G174" s="36"/>
      <c r="H174" s="36"/>
      <c r="I174" s="35" t="s">
        <v>195</v>
      </c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35">
        <v>2005</v>
      </c>
      <c r="B175" s="36" t="s">
        <v>126</v>
      </c>
      <c r="C175" s="36"/>
      <c r="D175" s="36">
        <f>0.05*(0.75*50.58+0.25*8.07)+0.5*0.002644</f>
        <v>1.9989470000000003</v>
      </c>
      <c r="E175" s="36"/>
      <c r="F175" s="36"/>
      <c r="G175" s="36"/>
      <c r="H175" s="36"/>
      <c r="I175" s="35" t="s">
        <v>195</v>
      </c>
    </row>
    <row r="176" spans="1:35" x14ac:dyDescent="0.25">
      <c r="A176" s="35">
        <v>2005</v>
      </c>
      <c r="B176" s="36" t="s">
        <v>126</v>
      </c>
      <c r="C176" s="36"/>
      <c r="D176" s="36"/>
      <c r="E176" s="36">
        <f>0.05*(0.75*27.58+0.25*3.27)+0.5*0.002916</f>
        <v>1.0765829999999998</v>
      </c>
      <c r="F176" s="36"/>
      <c r="G176" s="36"/>
      <c r="H176" s="36"/>
      <c r="I176" s="35" t="s">
        <v>195</v>
      </c>
    </row>
    <row r="177" spans="1:20" x14ac:dyDescent="0.25">
      <c r="A177" s="35">
        <v>2011</v>
      </c>
      <c r="B177" s="36" t="s">
        <v>141</v>
      </c>
      <c r="C177" s="36"/>
      <c r="D177" s="36"/>
      <c r="E177" s="36">
        <f>1.58/2</f>
        <v>0.79</v>
      </c>
      <c r="F177" s="36"/>
      <c r="G177" s="36"/>
      <c r="H177" s="36"/>
      <c r="I177" s="35" t="s">
        <v>209</v>
      </c>
    </row>
    <row r="178" spans="1:20" x14ac:dyDescent="0.25">
      <c r="A178" s="35">
        <v>2005</v>
      </c>
      <c r="B178" s="36" t="s">
        <v>126</v>
      </c>
      <c r="C178" s="36"/>
      <c r="D178" s="36"/>
      <c r="E178" s="36"/>
      <c r="F178" s="36">
        <f>0.05*(0.75*20.08+0.25*1.97)+0.5*0.0034</f>
        <v>0.77932500000000005</v>
      </c>
      <c r="G178" s="36"/>
      <c r="H178" s="36"/>
      <c r="I178" s="35" t="s">
        <v>195</v>
      </c>
    </row>
    <row r="179" spans="1:20" x14ac:dyDescent="0.25">
      <c r="A179" s="35">
        <v>2006</v>
      </c>
      <c r="B179" s="36" t="s">
        <v>138</v>
      </c>
      <c r="C179" s="36"/>
      <c r="D179" s="36"/>
      <c r="E179" s="36"/>
      <c r="F179" s="36">
        <v>1.1000000000000001</v>
      </c>
      <c r="G179" s="36"/>
      <c r="H179" s="36"/>
      <c r="I179" s="35" t="s">
        <v>195</v>
      </c>
    </row>
    <row r="180" spans="1:20" x14ac:dyDescent="0.25">
      <c r="A180" s="35">
        <v>2011</v>
      </c>
      <c r="B180" s="36" t="s">
        <v>141</v>
      </c>
      <c r="C180" s="36"/>
      <c r="D180" s="36"/>
      <c r="E180" s="36"/>
      <c r="F180" s="36"/>
      <c r="G180" s="36">
        <f>0.3/2</f>
        <v>0.15</v>
      </c>
      <c r="H180" s="36"/>
      <c r="I180" s="35" t="s">
        <v>209</v>
      </c>
    </row>
    <row r="181" spans="1:20" x14ac:dyDescent="0.25">
      <c r="A181" s="35">
        <v>2006</v>
      </c>
      <c r="B181" s="36" t="s">
        <v>138</v>
      </c>
      <c r="C181" s="36"/>
      <c r="D181" s="36"/>
      <c r="E181" s="36"/>
      <c r="F181" s="36"/>
      <c r="G181" s="36"/>
      <c r="H181" s="36">
        <v>0.11</v>
      </c>
      <c r="I181" s="35" t="s">
        <v>195</v>
      </c>
    </row>
    <row r="183" spans="1:20" x14ac:dyDescent="0.25">
      <c r="A183" s="35" t="s">
        <v>47</v>
      </c>
      <c r="B183" s="37" t="s">
        <v>212</v>
      </c>
      <c r="C183" s="35" t="s">
        <v>208</v>
      </c>
      <c r="D183" s="35"/>
      <c r="E183" s="35"/>
      <c r="F183" s="35"/>
      <c r="G183" s="35"/>
      <c r="H183" s="35"/>
      <c r="I183" s="35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25">
      <c r="A184" s="35" t="s">
        <v>17</v>
      </c>
      <c r="B184" s="35" t="s">
        <v>225</v>
      </c>
      <c r="C184" s="35" t="s">
        <v>216</v>
      </c>
      <c r="D184" s="35" t="s">
        <v>218</v>
      </c>
      <c r="E184" s="35" t="s">
        <v>219</v>
      </c>
      <c r="F184" s="35" t="s">
        <v>221</v>
      </c>
      <c r="G184" s="35" t="s">
        <v>241</v>
      </c>
      <c r="H184" s="35" t="s">
        <v>242</v>
      </c>
      <c r="I184" s="35" t="s">
        <v>226</v>
      </c>
    </row>
    <row r="185" spans="1:20" x14ac:dyDescent="0.25">
      <c r="A185" s="35">
        <v>2005</v>
      </c>
      <c r="B185" s="36" t="s">
        <v>126</v>
      </c>
      <c r="C185" s="36">
        <v>11.6</v>
      </c>
      <c r="D185" s="36"/>
      <c r="E185" s="36"/>
      <c r="F185" s="36"/>
      <c r="G185" s="36"/>
      <c r="H185" s="36"/>
      <c r="I185" s="35" t="s">
        <v>195</v>
      </c>
    </row>
    <row r="186" spans="1:20" x14ac:dyDescent="0.25">
      <c r="A186" s="35">
        <v>2005</v>
      </c>
      <c r="B186" s="36" t="s">
        <v>126</v>
      </c>
      <c r="C186" s="36"/>
      <c r="D186" s="36">
        <v>11</v>
      </c>
      <c r="E186" s="36"/>
      <c r="F186" s="36"/>
      <c r="G186" s="36"/>
      <c r="H186" s="36"/>
      <c r="I186" s="35" t="s">
        <v>195</v>
      </c>
    </row>
    <row r="187" spans="1:20" x14ac:dyDescent="0.25">
      <c r="A187" s="35">
        <v>2005</v>
      </c>
      <c r="B187" s="36" t="s">
        <v>126</v>
      </c>
      <c r="C187" s="36"/>
      <c r="D187" s="36"/>
      <c r="E187" s="36">
        <v>10.5</v>
      </c>
      <c r="F187" s="36"/>
      <c r="G187" s="36"/>
      <c r="H187" s="36"/>
      <c r="I187" s="35" t="s">
        <v>195</v>
      </c>
    </row>
    <row r="188" spans="1:20" x14ac:dyDescent="0.25">
      <c r="A188" s="35">
        <v>2011</v>
      </c>
      <c r="B188" s="36" t="s">
        <v>141</v>
      </c>
      <c r="C188" s="36"/>
      <c r="D188" s="36"/>
      <c r="E188" s="36">
        <f>(17.56+75.06)/2</f>
        <v>46.31</v>
      </c>
      <c r="F188" s="36"/>
      <c r="G188" s="36"/>
      <c r="H188" s="36"/>
      <c r="I188" s="35" t="s">
        <v>209</v>
      </c>
    </row>
    <row r="189" spans="1:20" x14ac:dyDescent="0.25">
      <c r="A189" s="35">
        <v>2005</v>
      </c>
      <c r="B189" s="36" t="s">
        <v>126</v>
      </c>
      <c r="C189" s="36"/>
      <c r="D189" s="36"/>
      <c r="E189" s="36"/>
      <c r="F189" s="36">
        <v>10.1</v>
      </c>
      <c r="G189" s="36"/>
      <c r="H189" s="36"/>
      <c r="I189" s="35" t="s">
        <v>195</v>
      </c>
    </row>
    <row r="190" spans="1:20" x14ac:dyDescent="0.25">
      <c r="A190" s="35">
        <v>2006</v>
      </c>
      <c r="B190" s="36" t="s">
        <v>138</v>
      </c>
      <c r="C190" s="36"/>
      <c r="D190" s="36"/>
      <c r="E190" s="36"/>
      <c r="F190" s="36">
        <v>11</v>
      </c>
      <c r="G190" s="36"/>
      <c r="H190" s="36"/>
      <c r="I190" s="35" t="s">
        <v>195</v>
      </c>
    </row>
    <row r="191" spans="1:20" x14ac:dyDescent="0.25">
      <c r="A191" s="35">
        <v>2011</v>
      </c>
      <c r="B191" s="36" t="s">
        <v>141</v>
      </c>
      <c r="C191" s="36"/>
      <c r="D191" s="36"/>
      <c r="E191" s="36"/>
      <c r="F191" s="36"/>
      <c r="G191" s="36">
        <v>48.01</v>
      </c>
      <c r="H191" s="36"/>
      <c r="I191" s="35" t="s">
        <v>209</v>
      </c>
    </row>
    <row r="192" spans="1:20" x14ac:dyDescent="0.25">
      <c r="A192" s="35">
        <v>2006</v>
      </c>
      <c r="B192" s="36" t="s">
        <v>138</v>
      </c>
      <c r="C192" s="36"/>
      <c r="D192" s="36"/>
      <c r="E192" s="36"/>
      <c r="F192" s="36"/>
      <c r="G192" s="36"/>
      <c r="H192" s="36">
        <v>11</v>
      </c>
      <c r="I192" s="35" t="s">
        <v>195</v>
      </c>
    </row>
    <row r="194" spans="1:24" x14ac:dyDescent="0.25">
      <c r="A194" s="12" t="s">
        <v>48</v>
      </c>
      <c r="B194" s="12" t="s">
        <v>240</v>
      </c>
      <c r="C194" s="12" t="s">
        <v>208</v>
      </c>
      <c r="D194" s="12"/>
      <c r="E194" s="12"/>
      <c r="F194" s="12"/>
      <c r="G194" s="12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4" x14ac:dyDescent="0.25">
      <c r="A195" s="12" t="s">
        <v>17</v>
      </c>
      <c r="B195" s="12" t="s">
        <v>225</v>
      </c>
      <c r="C195" s="12" t="s">
        <v>216</v>
      </c>
      <c r="D195" s="12" t="s">
        <v>218</v>
      </c>
      <c r="E195" s="12" t="s">
        <v>219</v>
      </c>
      <c r="F195" s="12" t="s">
        <v>221</v>
      </c>
      <c r="G195" s="12" t="s">
        <v>226</v>
      </c>
    </row>
    <row r="196" spans="1:24" x14ac:dyDescent="0.25">
      <c r="A196" s="12">
        <v>2005</v>
      </c>
      <c r="B196" s="12" t="s">
        <v>126</v>
      </c>
      <c r="C196" s="14">
        <v>7.45</v>
      </c>
      <c r="D196" s="14"/>
      <c r="E196" s="14"/>
      <c r="F196" s="14"/>
      <c r="G196" s="14" t="s">
        <v>195</v>
      </c>
    </row>
    <row r="197" spans="1:24" x14ac:dyDescent="0.25">
      <c r="A197" s="12">
        <v>2005</v>
      </c>
      <c r="B197" s="12" t="s">
        <v>126</v>
      </c>
      <c r="C197" s="14"/>
      <c r="D197" s="14">
        <v>2.2400000000000002</v>
      </c>
      <c r="E197" s="14"/>
      <c r="F197" s="14"/>
      <c r="G197" s="14" t="s">
        <v>195</v>
      </c>
    </row>
    <row r="198" spans="1:24" x14ac:dyDescent="0.25">
      <c r="A198" s="12">
        <v>2005</v>
      </c>
      <c r="B198" s="12" t="s">
        <v>126</v>
      </c>
      <c r="C198" s="14"/>
      <c r="D198" s="14"/>
      <c r="E198" s="14">
        <v>1.21</v>
      </c>
      <c r="F198" s="14"/>
      <c r="G198" s="14" t="s">
        <v>195</v>
      </c>
    </row>
    <row r="199" spans="1:24" x14ac:dyDescent="0.25">
      <c r="A199" s="12">
        <v>2005</v>
      </c>
      <c r="B199" s="12" t="s">
        <v>126</v>
      </c>
      <c r="C199" s="14"/>
      <c r="D199" s="14"/>
      <c r="E199" s="14"/>
      <c r="F199" s="14">
        <v>0.87</v>
      </c>
      <c r="G199" s="14" t="s">
        <v>195</v>
      </c>
    </row>
    <row r="200" spans="1:24" x14ac:dyDescent="0.25">
      <c r="A200" s="12">
        <v>2006</v>
      </c>
      <c r="B200" s="12" t="s">
        <v>138</v>
      </c>
      <c r="C200" s="14"/>
      <c r="D200" s="14"/>
      <c r="E200" s="14"/>
      <c r="F200" s="14">
        <v>1.2</v>
      </c>
      <c r="G200" s="14" t="s">
        <v>195</v>
      </c>
    </row>
    <row r="202" spans="1:24" x14ac:dyDescent="0.25">
      <c r="A202" s="12" t="s">
        <v>48</v>
      </c>
      <c r="B202" s="12" t="s">
        <v>212</v>
      </c>
      <c r="C202" s="12" t="s">
        <v>208</v>
      </c>
      <c r="D202" s="12"/>
      <c r="E202" s="12"/>
      <c r="F202" s="12"/>
      <c r="G202" s="12"/>
    </row>
    <row r="203" spans="1:24" x14ac:dyDescent="0.25">
      <c r="A203" s="12" t="s">
        <v>17</v>
      </c>
      <c r="B203" s="12" t="s">
        <v>225</v>
      </c>
      <c r="C203" s="12" t="s">
        <v>216</v>
      </c>
      <c r="D203" s="12" t="s">
        <v>218</v>
      </c>
      <c r="E203" s="12" t="s">
        <v>219</v>
      </c>
      <c r="F203" s="12" t="s">
        <v>221</v>
      </c>
      <c r="G203" s="12" t="s">
        <v>226</v>
      </c>
    </row>
    <row r="204" spans="1:24" x14ac:dyDescent="0.25">
      <c r="A204" s="12">
        <v>2005</v>
      </c>
      <c r="B204" s="12" t="s">
        <v>126</v>
      </c>
      <c r="C204" s="14">
        <v>27.3</v>
      </c>
      <c r="D204" s="14"/>
      <c r="E204" s="14"/>
      <c r="F204" s="14"/>
      <c r="G204" s="14" t="s">
        <v>195</v>
      </c>
    </row>
    <row r="205" spans="1:24" x14ac:dyDescent="0.25">
      <c r="A205" s="12">
        <v>2005</v>
      </c>
      <c r="B205" s="12" t="s">
        <v>126</v>
      </c>
      <c r="C205" s="14"/>
      <c r="D205" s="14">
        <v>26</v>
      </c>
      <c r="E205" s="14"/>
      <c r="F205" s="14"/>
      <c r="G205" s="14" t="s">
        <v>195</v>
      </c>
    </row>
    <row r="206" spans="1:24" x14ac:dyDescent="0.25">
      <c r="A206" s="12">
        <v>2005</v>
      </c>
      <c r="B206" s="12" t="s">
        <v>126</v>
      </c>
      <c r="C206" s="14"/>
      <c r="D206" s="14"/>
      <c r="E206" s="14">
        <v>24.7</v>
      </c>
      <c r="F206" s="14"/>
      <c r="G206" s="14" t="s">
        <v>195</v>
      </c>
    </row>
    <row r="207" spans="1:24" x14ac:dyDescent="0.25">
      <c r="A207" s="12">
        <v>2005</v>
      </c>
      <c r="B207" s="12" t="s">
        <v>126</v>
      </c>
      <c r="C207" s="14"/>
      <c r="D207" s="14"/>
      <c r="E207" s="14"/>
      <c r="F207" s="14">
        <v>23.6</v>
      </c>
      <c r="G207" s="14" t="s">
        <v>195</v>
      </c>
    </row>
    <row r="208" spans="1:24" x14ac:dyDescent="0.25">
      <c r="A208" s="12">
        <v>2006</v>
      </c>
      <c r="B208" s="12" t="s">
        <v>138</v>
      </c>
      <c r="C208" s="14"/>
      <c r="D208" s="14"/>
      <c r="E208" s="14"/>
      <c r="F208" s="14">
        <v>12</v>
      </c>
      <c r="G208" s="14" t="s">
        <v>195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10" spans="1:14" x14ac:dyDescent="0.25">
      <c r="A210" s="11" t="s">
        <v>35</v>
      </c>
      <c r="B210" s="11" t="s">
        <v>207</v>
      </c>
      <c r="C210" s="19" t="s">
        <v>208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1"/>
    </row>
    <row r="211" spans="1:14" x14ac:dyDescent="0.25">
      <c r="A211" s="11" t="s">
        <v>17</v>
      </c>
      <c r="B211" s="21" t="s">
        <v>225</v>
      </c>
      <c r="C211" s="20" t="s">
        <v>243</v>
      </c>
      <c r="D211" s="20" t="s">
        <v>244</v>
      </c>
      <c r="E211" s="20" t="s">
        <v>216</v>
      </c>
      <c r="F211" s="20" t="s">
        <v>218</v>
      </c>
      <c r="G211" s="20" t="s">
        <v>219</v>
      </c>
      <c r="H211" s="20" t="s">
        <v>220</v>
      </c>
      <c r="I211" s="20" t="s">
        <v>245</v>
      </c>
      <c r="J211" s="20" t="s">
        <v>221</v>
      </c>
      <c r="K211" s="20" t="s">
        <v>242</v>
      </c>
      <c r="L211" s="20" t="s">
        <v>223</v>
      </c>
      <c r="M211" s="20" t="s">
        <v>224</v>
      </c>
      <c r="N211" s="18" t="s">
        <v>226</v>
      </c>
    </row>
    <row r="212" spans="1:14" x14ac:dyDescent="0.25">
      <c r="A212" s="11">
        <v>1990</v>
      </c>
      <c r="B212" s="21" t="s">
        <v>31</v>
      </c>
      <c r="C212" s="20">
        <v>12.2</v>
      </c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8" t="s">
        <v>195</v>
      </c>
    </row>
    <row r="213" spans="1:14" x14ac:dyDescent="0.25">
      <c r="A213" s="11">
        <v>1990</v>
      </c>
      <c r="B213" s="21" t="s">
        <v>31</v>
      </c>
      <c r="C213" s="20"/>
      <c r="D213" s="20">
        <v>18.899999999999999</v>
      </c>
      <c r="E213" s="20"/>
      <c r="F213" s="20"/>
      <c r="G213" s="20"/>
      <c r="H213" s="20"/>
      <c r="I213" s="20"/>
      <c r="J213" s="20"/>
      <c r="K213" s="20"/>
      <c r="L213" s="20"/>
      <c r="M213" s="20"/>
      <c r="N213" s="18" t="s">
        <v>209</v>
      </c>
    </row>
    <row r="214" spans="1:14" x14ac:dyDescent="0.25">
      <c r="A214" s="11">
        <v>2005</v>
      </c>
      <c r="B214" s="21" t="s">
        <v>126</v>
      </c>
      <c r="C214" s="20"/>
      <c r="D214" s="20"/>
      <c r="E214" s="20">
        <v>39.9</v>
      </c>
      <c r="F214" s="20"/>
      <c r="G214" s="20"/>
      <c r="H214" s="20"/>
      <c r="I214" s="20"/>
      <c r="J214" s="20"/>
      <c r="K214" s="20"/>
      <c r="L214" s="20"/>
      <c r="M214" s="20"/>
      <c r="N214" s="18" t="s">
        <v>195</v>
      </c>
    </row>
    <row r="215" spans="1:14" x14ac:dyDescent="0.25">
      <c r="A215" s="11">
        <v>2005</v>
      </c>
      <c r="B215" s="21" t="s">
        <v>126</v>
      </c>
      <c r="C215" s="20"/>
      <c r="D215" s="20"/>
      <c r="E215" s="20"/>
      <c r="F215" s="20">
        <v>11.99</v>
      </c>
      <c r="G215" s="20"/>
      <c r="H215" s="20"/>
      <c r="I215" s="20"/>
      <c r="J215" s="20"/>
      <c r="K215" s="20"/>
      <c r="L215" s="20"/>
      <c r="M215" s="20"/>
      <c r="N215" s="18" t="s">
        <v>195</v>
      </c>
    </row>
    <row r="216" spans="1:14" x14ac:dyDescent="0.25">
      <c r="A216" s="11">
        <v>1990</v>
      </c>
      <c r="B216" s="21" t="s">
        <v>31</v>
      </c>
      <c r="C216" s="20"/>
      <c r="D216" s="20"/>
      <c r="E216" s="20"/>
      <c r="F216" s="20"/>
      <c r="G216" s="20">
        <v>3.2</v>
      </c>
      <c r="H216" s="20"/>
      <c r="I216" s="20"/>
      <c r="J216" s="20"/>
      <c r="K216" s="20"/>
      <c r="L216" s="20"/>
      <c r="M216" s="20"/>
      <c r="N216" s="18" t="s">
        <v>209</v>
      </c>
    </row>
    <row r="217" spans="1:14" x14ac:dyDescent="0.25">
      <c r="A217" s="11">
        <v>1990</v>
      </c>
      <c r="B217" s="21" t="s">
        <v>31</v>
      </c>
      <c r="C217" s="20"/>
      <c r="D217" s="20"/>
      <c r="E217" s="20"/>
      <c r="F217" s="20"/>
      <c r="G217" s="20">
        <v>2.7</v>
      </c>
      <c r="H217" s="20"/>
      <c r="I217" s="20"/>
      <c r="J217" s="20"/>
      <c r="K217" s="20"/>
      <c r="L217" s="20"/>
      <c r="M217" s="20"/>
      <c r="N217" s="18" t="s">
        <v>213</v>
      </c>
    </row>
    <row r="218" spans="1:14" x14ac:dyDescent="0.25">
      <c r="A218" s="11">
        <v>2005</v>
      </c>
      <c r="B218" s="21" t="s">
        <v>126</v>
      </c>
      <c r="C218" s="20"/>
      <c r="D218" s="20"/>
      <c r="E218" s="20"/>
      <c r="F218" s="20"/>
      <c r="G218" s="20">
        <v>6.45</v>
      </c>
      <c r="H218" s="20"/>
      <c r="I218" s="20"/>
      <c r="J218" s="20"/>
      <c r="K218" s="20"/>
      <c r="L218" s="20"/>
      <c r="M218" s="20"/>
      <c r="N218" s="18" t="s">
        <v>195</v>
      </c>
    </row>
    <row r="219" spans="1:14" x14ac:dyDescent="0.25">
      <c r="A219" s="11">
        <v>2011</v>
      </c>
      <c r="B219" s="21" t="s">
        <v>141</v>
      </c>
      <c r="C219" s="20"/>
      <c r="D219" s="20"/>
      <c r="E219" s="20"/>
      <c r="F219" s="20"/>
      <c r="G219" s="20">
        <v>1.36</v>
      </c>
      <c r="H219" s="20"/>
      <c r="I219" s="20"/>
      <c r="J219" s="20"/>
      <c r="K219" s="20"/>
      <c r="L219" s="20"/>
      <c r="M219" s="20"/>
      <c r="N219" s="18" t="s">
        <v>209</v>
      </c>
    </row>
    <row r="220" spans="1:14" x14ac:dyDescent="0.25">
      <c r="A220" s="11">
        <v>1990</v>
      </c>
      <c r="B220" s="21" t="s">
        <v>31</v>
      </c>
      <c r="C220" s="20"/>
      <c r="D220" s="20"/>
      <c r="E220" s="20"/>
      <c r="F220" s="20"/>
      <c r="G220" s="20"/>
      <c r="H220" s="20">
        <v>3.21</v>
      </c>
      <c r="I220" s="20"/>
      <c r="J220" s="20"/>
      <c r="K220" s="20"/>
      <c r="L220" s="20"/>
      <c r="M220" s="20"/>
      <c r="N220" s="18" t="s">
        <v>211</v>
      </c>
    </row>
    <row r="221" spans="1:14" x14ac:dyDescent="0.25">
      <c r="A221" s="11">
        <v>1990</v>
      </c>
      <c r="B221" s="21" t="s">
        <v>31</v>
      </c>
      <c r="C221" s="20"/>
      <c r="D221" s="20"/>
      <c r="E221" s="20"/>
      <c r="F221" s="20"/>
      <c r="G221" s="20"/>
      <c r="H221" s="20">
        <v>6.5</v>
      </c>
      <c r="I221" s="20"/>
      <c r="J221" s="20"/>
      <c r="K221" s="20"/>
      <c r="L221" s="20"/>
      <c r="M221" s="20"/>
      <c r="N221" s="18" t="s">
        <v>195</v>
      </c>
    </row>
    <row r="222" spans="1:14" x14ac:dyDescent="0.25">
      <c r="A222" s="11">
        <v>1996</v>
      </c>
      <c r="B222" s="21" t="s">
        <v>124</v>
      </c>
      <c r="C222" s="20"/>
      <c r="D222" s="20"/>
      <c r="E222" s="20"/>
      <c r="F222" s="20"/>
      <c r="G222" s="20"/>
      <c r="H222" s="20">
        <v>3</v>
      </c>
      <c r="I222" s="20"/>
      <c r="J222" s="20"/>
      <c r="K222" s="20"/>
      <c r="L222" s="20"/>
      <c r="M222" s="20"/>
      <c r="N222" s="18" t="s">
        <v>211</v>
      </c>
    </row>
    <row r="223" spans="1:14" x14ac:dyDescent="0.25">
      <c r="A223" s="11">
        <v>1990</v>
      </c>
      <c r="B223" s="21" t="s">
        <v>31</v>
      </c>
      <c r="C223" s="20"/>
      <c r="D223" s="20"/>
      <c r="E223" s="20"/>
      <c r="F223" s="20"/>
      <c r="G223" s="20"/>
      <c r="H223" s="20"/>
      <c r="I223" s="20">
        <v>2.2999999999999998</v>
      </c>
      <c r="J223" s="20"/>
      <c r="K223" s="20"/>
      <c r="L223" s="20"/>
      <c r="M223" s="20"/>
      <c r="N223" s="18" t="s">
        <v>209</v>
      </c>
    </row>
    <row r="224" spans="1:14" x14ac:dyDescent="0.25">
      <c r="A224" s="11">
        <v>2005</v>
      </c>
      <c r="B224" s="21" t="s">
        <v>126</v>
      </c>
      <c r="C224" s="20"/>
      <c r="D224" s="20"/>
      <c r="E224" s="20"/>
      <c r="F224" s="20"/>
      <c r="G224" s="20"/>
      <c r="H224" s="20"/>
      <c r="I224" s="20"/>
      <c r="J224" s="20">
        <v>4.67</v>
      </c>
      <c r="K224" s="20"/>
      <c r="L224" s="20"/>
      <c r="M224" s="20"/>
      <c r="N224" s="18" t="s">
        <v>195</v>
      </c>
    </row>
    <row r="225" spans="1:14" x14ac:dyDescent="0.25">
      <c r="A225" s="11">
        <v>2006</v>
      </c>
      <c r="B225" s="21" t="s">
        <v>138</v>
      </c>
      <c r="C225" s="39"/>
      <c r="D225" s="20"/>
      <c r="E225" s="20"/>
      <c r="F225" s="20"/>
      <c r="G225" s="20"/>
      <c r="H225" s="20"/>
      <c r="I225" s="20"/>
      <c r="J225" s="20">
        <v>4.5</v>
      </c>
      <c r="K225" s="20"/>
      <c r="L225" s="20"/>
      <c r="M225" s="20"/>
      <c r="N225" s="18" t="s">
        <v>195</v>
      </c>
    </row>
    <row r="226" spans="1:14" x14ac:dyDescent="0.25">
      <c r="A226" s="11">
        <v>2006</v>
      </c>
      <c r="B226" s="21" t="s">
        <v>138</v>
      </c>
      <c r="C226" s="39"/>
      <c r="D226" s="20"/>
      <c r="E226" s="20"/>
      <c r="F226" s="20"/>
      <c r="G226" s="20"/>
      <c r="H226" s="20"/>
      <c r="I226" s="20"/>
      <c r="J226" s="20"/>
      <c r="K226" s="20">
        <v>4.5</v>
      </c>
      <c r="L226" s="20"/>
      <c r="M226" s="20"/>
      <c r="N226" s="18" t="s">
        <v>195</v>
      </c>
    </row>
    <row r="227" spans="1:14" x14ac:dyDescent="0.25">
      <c r="A227" s="11">
        <v>1996</v>
      </c>
      <c r="B227" s="21" t="s">
        <v>124</v>
      </c>
      <c r="C227" s="39"/>
      <c r="D227" s="20"/>
      <c r="E227" s="20"/>
      <c r="F227" s="20"/>
      <c r="G227" s="20"/>
      <c r="H227" s="20"/>
      <c r="I227" s="20"/>
      <c r="J227" s="20"/>
      <c r="K227" s="20"/>
      <c r="L227" s="20">
        <v>1.7</v>
      </c>
      <c r="M227" s="20"/>
      <c r="N227" s="18" t="s">
        <v>211</v>
      </c>
    </row>
    <row r="228" spans="1:14" x14ac:dyDescent="0.25">
      <c r="A228" s="19">
        <v>1990</v>
      </c>
      <c r="B228" s="38" t="s">
        <v>31</v>
      </c>
      <c r="C228" s="39"/>
      <c r="D228" s="20"/>
      <c r="E228" s="20"/>
      <c r="F228" s="20"/>
      <c r="G228" s="20"/>
      <c r="H228" s="20"/>
      <c r="I228" s="20"/>
      <c r="J228" s="20"/>
      <c r="K228" s="20"/>
      <c r="L228" s="20"/>
      <c r="M228" s="20">
        <v>5.7</v>
      </c>
      <c r="N228" s="18" t="s">
        <v>195</v>
      </c>
    </row>
    <row r="230" spans="1:14" x14ac:dyDescent="0.25">
      <c r="A230" s="11" t="s">
        <v>35</v>
      </c>
      <c r="B230" s="11" t="s">
        <v>212</v>
      </c>
      <c r="C230" s="19" t="s">
        <v>208</v>
      </c>
      <c r="D230" s="19"/>
      <c r="E230" s="19"/>
      <c r="F230" s="19"/>
      <c r="G230" s="19"/>
      <c r="H230" s="19"/>
      <c r="I230" s="19"/>
      <c r="J230" s="19"/>
    </row>
    <row r="231" spans="1:14" x14ac:dyDescent="0.25">
      <c r="A231" s="11" t="s">
        <v>17</v>
      </c>
      <c r="B231" s="21" t="s">
        <v>225</v>
      </c>
      <c r="C231" s="20" t="s">
        <v>216</v>
      </c>
      <c r="D231" s="20" t="s">
        <v>218</v>
      </c>
      <c r="E231" s="20" t="s">
        <v>219</v>
      </c>
      <c r="F231" s="20" t="s">
        <v>220</v>
      </c>
      <c r="G231" s="20" t="s">
        <v>221</v>
      </c>
      <c r="H231" s="20" t="s">
        <v>242</v>
      </c>
      <c r="I231" s="20" t="s">
        <v>223</v>
      </c>
      <c r="J231" s="20" t="s">
        <v>226</v>
      </c>
    </row>
    <row r="232" spans="1:14" x14ac:dyDescent="0.25">
      <c r="A232" s="11">
        <v>2005</v>
      </c>
      <c r="B232" s="11" t="s">
        <v>126</v>
      </c>
      <c r="C232" s="20">
        <v>7.75</v>
      </c>
      <c r="D232" s="20"/>
      <c r="E232" s="20"/>
      <c r="F232" s="20"/>
      <c r="G232" s="20"/>
      <c r="H232" s="20"/>
      <c r="I232" s="20"/>
      <c r="J232" s="20" t="s">
        <v>195</v>
      </c>
    </row>
    <row r="233" spans="1:14" x14ac:dyDescent="0.25">
      <c r="A233" s="11">
        <v>2013</v>
      </c>
      <c r="B233" s="11" t="s">
        <v>27</v>
      </c>
      <c r="C233" s="20">
        <v>8.1</v>
      </c>
      <c r="D233" s="20"/>
      <c r="E233" s="20"/>
      <c r="F233" s="20"/>
      <c r="G233" s="20"/>
      <c r="H233" s="20"/>
      <c r="I233" s="20"/>
      <c r="J233" s="20" t="s">
        <v>209</v>
      </c>
    </row>
    <row r="234" spans="1:14" x14ac:dyDescent="0.25">
      <c r="A234" s="11">
        <v>2005</v>
      </c>
      <c r="B234" s="11" t="s">
        <v>126</v>
      </c>
      <c r="C234" s="20"/>
      <c r="D234" s="20">
        <v>7.5</v>
      </c>
      <c r="E234" s="20"/>
      <c r="F234" s="20"/>
      <c r="G234" s="20"/>
      <c r="H234" s="20"/>
      <c r="I234" s="20"/>
      <c r="J234" s="20" t="s">
        <v>195</v>
      </c>
    </row>
    <row r="235" spans="1:14" x14ac:dyDescent="0.25">
      <c r="A235" s="11">
        <v>2013</v>
      </c>
      <c r="B235" s="11" t="s">
        <v>27</v>
      </c>
      <c r="C235" s="20"/>
      <c r="D235" s="20">
        <v>7.96</v>
      </c>
      <c r="E235" s="20"/>
      <c r="F235" s="20"/>
      <c r="G235" s="20"/>
      <c r="H235" s="20"/>
      <c r="I235" s="20"/>
      <c r="J235" s="20" t="s">
        <v>209</v>
      </c>
    </row>
    <row r="236" spans="1:14" x14ac:dyDescent="0.25">
      <c r="A236" s="11">
        <v>1990</v>
      </c>
      <c r="B236" s="11" t="s">
        <v>31</v>
      </c>
      <c r="C236" s="20"/>
      <c r="D236" s="20"/>
      <c r="E236" s="20">
        <v>17</v>
      </c>
      <c r="F236" s="20"/>
      <c r="G236" s="20"/>
      <c r="H236" s="20"/>
      <c r="I236" s="20"/>
      <c r="J236" s="20" t="s">
        <v>213</v>
      </c>
    </row>
    <row r="237" spans="1:14" x14ac:dyDescent="0.25">
      <c r="A237" s="11">
        <v>2005</v>
      </c>
      <c r="B237" s="11" t="s">
        <v>126</v>
      </c>
      <c r="C237" s="20"/>
      <c r="D237" s="20"/>
      <c r="E237" s="20">
        <v>7.23</v>
      </c>
      <c r="F237" s="20"/>
      <c r="G237" s="20"/>
      <c r="H237" s="20"/>
      <c r="I237" s="20"/>
      <c r="J237" s="20" t="s">
        <v>195</v>
      </c>
    </row>
    <row r="238" spans="1:14" x14ac:dyDescent="0.25">
      <c r="A238" s="11">
        <v>2011</v>
      </c>
      <c r="B238" s="11" t="s">
        <v>141</v>
      </c>
      <c r="C238" s="20"/>
      <c r="D238" s="20"/>
      <c r="E238" s="20">
        <v>26</v>
      </c>
      <c r="F238" s="20"/>
      <c r="G238" s="20"/>
      <c r="H238" s="20"/>
      <c r="I238" s="20"/>
      <c r="J238" s="20" t="s">
        <v>209</v>
      </c>
    </row>
    <row r="239" spans="1:14" x14ac:dyDescent="0.25">
      <c r="A239" s="11">
        <v>2013</v>
      </c>
      <c r="B239" s="11" t="s">
        <v>27</v>
      </c>
      <c r="C239" s="20"/>
      <c r="D239" s="20"/>
      <c r="E239" s="20">
        <v>7.8</v>
      </c>
      <c r="F239" s="20"/>
      <c r="G239" s="20"/>
      <c r="H239" s="20"/>
      <c r="I239" s="20"/>
      <c r="J239" s="20" t="s">
        <v>209</v>
      </c>
    </row>
    <row r="240" spans="1:14" x14ac:dyDescent="0.25">
      <c r="A240" s="11">
        <v>1990</v>
      </c>
      <c r="B240" s="11" t="s">
        <v>31</v>
      </c>
      <c r="C240" s="20"/>
      <c r="D240" s="20"/>
      <c r="E240" s="20">
        <v>5.23</v>
      </c>
      <c r="F240" s="20"/>
      <c r="G240" s="20"/>
      <c r="H240" s="20"/>
      <c r="I240" s="20"/>
      <c r="J240" s="20" t="s">
        <v>211</v>
      </c>
    </row>
    <row r="241" spans="1:22" x14ac:dyDescent="0.25">
      <c r="A241" s="11">
        <v>1996</v>
      </c>
      <c r="B241" s="11" t="s">
        <v>124</v>
      </c>
      <c r="C241" s="20"/>
      <c r="D241" s="20"/>
      <c r="E241" s="20"/>
      <c r="F241" s="20">
        <v>10.1</v>
      </c>
      <c r="G241" s="20"/>
      <c r="H241" s="20"/>
      <c r="I241" s="20"/>
      <c r="J241" s="20" t="s">
        <v>211</v>
      </c>
    </row>
    <row r="242" spans="1:22" x14ac:dyDescent="0.25">
      <c r="A242" s="11">
        <v>2005</v>
      </c>
      <c r="B242" s="11" t="s">
        <v>126</v>
      </c>
      <c r="C242" s="20"/>
      <c r="D242" s="20"/>
      <c r="E242" s="20"/>
      <c r="F242" s="20"/>
      <c r="G242" s="20">
        <v>7</v>
      </c>
      <c r="H242" s="20"/>
      <c r="I242" s="20"/>
      <c r="J242" s="20" t="s">
        <v>195</v>
      </c>
    </row>
    <row r="243" spans="1:22" x14ac:dyDescent="0.25">
      <c r="A243" s="11">
        <v>2013</v>
      </c>
      <c r="B243" s="11" t="s">
        <v>27</v>
      </c>
      <c r="C243" s="20"/>
      <c r="D243" s="20"/>
      <c r="E243" s="20"/>
      <c r="F243" s="20"/>
      <c r="G243" s="20">
        <v>7.6</v>
      </c>
      <c r="H243" s="20"/>
      <c r="I243" s="20"/>
      <c r="J243" s="20" t="s">
        <v>209</v>
      </c>
    </row>
    <row r="244" spans="1:22" x14ac:dyDescent="0.25">
      <c r="A244" s="11">
        <v>2006</v>
      </c>
      <c r="B244" s="11" t="s">
        <v>138</v>
      </c>
      <c r="C244" s="20"/>
      <c r="D244" s="20"/>
      <c r="E244" s="20"/>
      <c r="F244" s="20"/>
      <c r="G244" s="20">
        <v>20</v>
      </c>
      <c r="H244" s="20"/>
      <c r="I244" s="20"/>
      <c r="J244" s="20" t="s">
        <v>195</v>
      </c>
    </row>
    <row r="245" spans="1:22" x14ac:dyDescent="0.25">
      <c r="A245" s="11">
        <v>2006</v>
      </c>
      <c r="B245" s="11" t="s">
        <v>138</v>
      </c>
      <c r="C245" s="39"/>
      <c r="D245" s="20"/>
      <c r="E245" s="20"/>
      <c r="F245" s="20"/>
      <c r="G245" s="20"/>
      <c r="H245" s="20">
        <v>20</v>
      </c>
      <c r="I245" s="20"/>
      <c r="J245" s="20" t="s">
        <v>195</v>
      </c>
    </row>
    <row r="246" spans="1:22" x14ac:dyDescent="0.25">
      <c r="A246" s="11">
        <v>1996</v>
      </c>
      <c r="B246" s="11" t="s">
        <v>124</v>
      </c>
      <c r="C246" s="39"/>
      <c r="D246" s="20"/>
      <c r="E246" s="20"/>
      <c r="F246" s="20"/>
      <c r="G246" s="20"/>
      <c r="H246" s="20"/>
      <c r="I246" s="20">
        <v>3.2</v>
      </c>
      <c r="J246" s="20" t="s">
        <v>211</v>
      </c>
    </row>
    <row r="247" spans="1:22" x14ac:dyDescent="0.25"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24" t="s">
        <v>49</v>
      </c>
      <c r="B248" s="24" t="s">
        <v>207</v>
      </c>
      <c r="C248" s="25" t="s">
        <v>208</v>
      </c>
      <c r="D248" s="25"/>
      <c r="E248" s="25"/>
      <c r="F248" s="25"/>
      <c r="G248" s="25"/>
      <c r="H248" s="25"/>
      <c r="I248" s="25"/>
      <c r="J248" s="25"/>
      <c r="K248" s="27"/>
    </row>
    <row r="249" spans="1:22" x14ac:dyDescent="0.25">
      <c r="A249" s="24" t="s">
        <v>17</v>
      </c>
      <c r="B249" s="28" t="s">
        <v>225</v>
      </c>
      <c r="C249" s="26" t="s">
        <v>244</v>
      </c>
      <c r="D249" s="26" t="s">
        <v>216</v>
      </c>
      <c r="E249" s="26" t="s">
        <v>218</v>
      </c>
      <c r="F249" s="26" t="s">
        <v>219</v>
      </c>
      <c r="G249" s="26" t="s">
        <v>245</v>
      </c>
      <c r="H249" s="26" t="s">
        <v>221</v>
      </c>
      <c r="I249" s="26" t="s">
        <v>241</v>
      </c>
      <c r="J249" s="26" t="s">
        <v>242</v>
      </c>
      <c r="K249" s="26" t="s">
        <v>226</v>
      </c>
    </row>
    <row r="250" spans="1:22" x14ac:dyDescent="0.25">
      <c r="A250" s="27">
        <v>1990</v>
      </c>
      <c r="B250" s="27" t="s">
        <v>31</v>
      </c>
      <c r="C250" s="26">
        <v>25.5</v>
      </c>
      <c r="D250" s="26"/>
      <c r="E250" s="26"/>
      <c r="F250" s="26"/>
      <c r="G250" s="26"/>
      <c r="H250" s="26"/>
      <c r="I250" s="26"/>
      <c r="J250" s="26"/>
      <c r="K250" s="40" t="s">
        <v>209</v>
      </c>
    </row>
    <row r="251" spans="1:22" x14ac:dyDescent="0.25">
      <c r="A251" s="27">
        <v>2005</v>
      </c>
      <c r="B251" s="27" t="s">
        <v>126</v>
      </c>
      <c r="C251" s="26"/>
      <c r="D251" s="26">
        <v>21</v>
      </c>
      <c r="E251" s="26"/>
      <c r="F251" s="26"/>
      <c r="G251" s="26"/>
      <c r="H251" s="26"/>
      <c r="I251" s="26"/>
      <c r="J251" s="26"/>
      <c r="K251" s="26" t="s">
        <v>195</v>
      </c>
    </row>
    <row r="252" spans="1:22" x14ac:dyDescent="0.25">
      <c r="A252" s="27">
        <v>2005</v>
      </c>
      <c r="B252" s="27" t="s">
        <v>126</v>
      </c>
      <c r="C252" s="26"/>
      <c r="D252" s="26"/>
      <c r="E252" s="26">
        <v>6.6</v>
      </c>
      <c r="F252" s="26"/>
      <c r="G252" s="26"/>
      <c r="H252" s="26"/>
      <c r="I252" s="26"/>
      <c r="J252" s="26"/>
      <c r="K252" s="26" t="s">
        <v>195</v>
      </c>
    </row>
    <row r="253" spans="1:22" x14ac:dyDescent="0.25">
      <c r="A253" s="27">
        <v>1990</v>
      </c>
      <c r="B253" s="27" t="s">
        <v>31</v>
      </c>
      <c r="C253" s="26"/>
      <c r="D253" s="26"/>
      <c r="E253" s="26"/>
      <c r="F253" s="26">
        <v>8.4</v>
      </c>
      <c r="G253" s="26"/>
      <c r="H253" s="26"/>
      <c r="I253" s="26"/>
      <c r="J253" s="26"/>
      <c r="K253" s="26" t="s">
        <v>209</v>
      </c>
    </row>
    <row r="254" spans="1:22" x14ac:dyDescent="0.25">
      <c r="A254" s="27">
        <v>2005</v>
      </c>
      <c r="B254" s="27" t="s">
        <v>126</v>
      </c>
      <c r="C254" s="26"/>
      <c r="D254" s="26"/>
      <c r="E254" s="26"/>
      <c r="F254" s="26">
        <v>3.6</v>
      </c>
      <c r="G254" s="26"/>
      <c r="H254" s="26"/>
      <c r="I254" s="26"/>
      <c r="J254" s="26"/>
      <c r="K254" s="26" t="s">
        <v>195</v>
      </c>
    </row>
    <row r="255" spans="1:22" x14ac:dyDescent="0.25">
      <c r="A255" s="27">
        <v>2011</v>
      </c>
      <c r="B255" s="27" t="s">
        <v>141</v>
      </c>
      <c r="C255" s="26"/>
      <c r="D255" s="26"/>
      <c r="E255" s="26"/>
      <c r="F255" s="26">
        <v>0.76</v>
      </c>
      <c r="G255" s="26"/>
      <c r="H255" s="26"/>
      <c r="I255" s="26"/>
      <c r="J255" s="26"/>
      <c r="K255" s="26" t="s">
        <v>209</v>
      </c>
    </row>
    <row r="256" spans="1:22" x14ac:dyDescent="0.25">
      <c r="A256" s="27">
        <v>1990</v>
      </c>
      <c r="B256" s="27" t="s">
        <v>31</v>
      </c>
      <c r="C256" s="26"/>
      <c r="D256" s="26"/>
      <c r="E256" s="26"/>
      <c r="F256" s="26"/>
      <c r="G256" s="26">
        <v>8.1</v>
      </c>
      <c r="H256" s="26"/>
      <c r="I256" s="26"/>
      <c r="J256" s="26"/>
      <c r="K256" s="26" t="s">
        <v>209</v>
      </c>
    </row>
    <row r="257" spans="1:21" x14ac:dyDescent="0.25">
      <c r="A257" s="27">
        <v>2005</v>
      </c>
      <c r="B257" s="27" t="s">
        <v>126</v>
      </c>
      <c r="C257" s="26"/>
      <c r="D257" s="26"/>
      <c r="E257" s="26"/>
      <c r="F257" s="26"/>
      <c r="G257" s="26"/>
      <c r="H257" s="26">
        <v>2.6</v>
      </c>
      <c r="I257" s="26"/>
      <c r="J257" s="26"/>
      <c r="K257" s="26" t="s">
        <v>195</v>
      </c>
    </row>
    <row r="258" spans="1:21" x14ac:dyDescent="0.25">
      <c r="A258" s="27">
        <v>2006</v>
      </c>
      <c r="B258" s="27" t="s">
        <v>138</v>
      </c>
      <c r="C258" s="26"/>
      <c r="D258" s="26"/>
      <c r="E258" s="26"/>
      <c r="F258" s="26"/>
      <c r="G258" s="26"/>
      <c r="H258" s="26">
        <v>3.5</v>
      </c>
      <c r="I258" s="26"/>
      <c r="J258" s="26"/>
      <c r="K258" s="26" t="s">
        <v>195</v>
      </c>
    </row>
    <row r="259" spans="1:21" x14ac:dyDescent="0.25">
      <c r="A259" s="27">
        <v>2011</v>
      </c>
      <c r="B259" s="27" t="s">
        <v>141</v>
      </c>
      <c r="C259" s="26"/>
      <c r="D259" s="26"/>
      <c r="E259" s="26"/>
      <c r="F259" s="26"/>
      <c r="G259" s="26"/>
      <c r="H259" s="26"/>
      <c r="I259" s="26">
        <v>0.68500000000000005</v>
      </c>
      <c r="J259" s="26"/>
      <c r="K259" s="26" t="s">
        <v>209</v>
      </c>
    </row>
    <row r="260" spans="1:21" x14ac:dyDescent="0.25">
      <c r="A260" s="27">
        <v>2006</v>
      </c>
      <c r="B260" s="27" t="s">
        <v>138</v>
      </c>
      <c r="C260" s="26"/>
      <c r="D260" s="26"/>
      <c r="E260" s="26"/>
      <c r="F260" s="26"/>
      <c r="G260" s="26"/>
      <c r="H260" s="26"/>
      <c r="I260" s="26"/>
      <c r="J260" s="26">
        <v>3.5</v>
      </c>
      <c r="K260" s="41" t="s">
        <v>195</v>
      </c>
    </row>
    <row r="262" spans="1:21" x14ac:dyDescent="0.25">
      <c r="A262" s="24" t="s">
        <v>49</v>
      </c>
      <c r="B262" s="24" t="s">
        <v>212</v>
      </c>
      <c r="C262" s="25" t="s">
        <v>208</v>
      </c>
      <c r="D262" s="25"/>
      <c r="E262" s="25"/>
      <c r="F262" s="25"/>
      <c r="G262" s="25"/>
      <c r="H262" s="25"/>
      <c r="I262" s="27"/>
    </row>
    <row r="263" spans="1:21" x14ac:dyDescent="0.25">
      <c r="A263" s="24" t="s">
        <v>17</v>
      </c>
      <c r="B263" s="28" t="s">
        <v>225</v>
      </c>
      <c r="C263" s="26" t="s">
        <v>216</v>
      </c>
      <c r="D263" s="26" t="s">
        <v>218</v>
      </c>
      <c r="E263" s="26" t="s">
        <v>219</v>
      </c>
      <c r="F263" s="26" t="s">
        <v>221</v>
      </c>
      <c r="G263" s="26" t="s">
        <v>241</v>
      </c>
      <c r="H263" s="26" t="s">
        <v>242</v>
      </c>
      <c r="I263" s="27" t="s">
        <v>226</v>
      </c>
    </row>
    <row r="264" spans="1:21" x14ac:dyDescent="0.25">
      <c r="A264" s="27">
        <v>2005</v>
      </c>
      <c r="B264" s="27" t="s">
        <v>126</v>
      </c>
      <c r="C264" s="26">
        <v>23.25</v>
      </c>
      <c r="D264" s="26"/>
      <c r="E264" s="26"/>
      <c r="F264" s="26"/>
      <c r="G264" s="26"/>
      <c r="H264" s="26"/>
      <c r="I264" s="27" t="s">
        <v>195</v>
      </c>
    </row>
    <row r="265" spans="1:21" x14ac:dyDescent="0.25">
      <c r="A265" s="27">
        <v>2005</v>
      </c>
      <c r="B265" s="27" t="s">
        <v>126</v>
      </c>
      <c r="C265" s="26"/>
      <c r="D265" s="26">
        <v>22.8</v>
      </c>
      <c r="E265" s="26"/>
      <c r="F265" s="26"/>
      <c r="G265" s="26"/>
      <c r="H265" s="26"/>
      <c r="I265" s="27" t="s">
        <v>195</v>
      </c>
    </row>
    <row r="266" spans="1:21" x14ac:dyDescent="0.25">
      <c r="A266" s="27">
        <v>2005</v>
      </c>
      <c r="B266" s="27" t="s">
        <v>126</v>
      </c>
      <c r="C266" s="26"/>
      <c r="D266" s="26"/>
      <c r="E266" s="26">
        <v>22.5</v>
      </c>
      <c r="F266" s="26"/>
      <c r="G266" s="26"/>
      <c r="H266" s="26"/>
      <c r="I266" s="27" t="s">
        <v>195</v>
      </c>
    </row>
    <row r="267" spans="1:21" x14ac:dyDescent="0.25">
      <c r="A267" s="27">
        <v>2011</v>
      </c>
      <c r="B267" s="27" t="s">
        <v>141</v>
      </c>
      <c r="C267" s="26"/>
      <c r="D267" s="26"/>
      <c r="E267" s="26">
        <v>42.4</v>
      </c>
      <c r="F267" s="26"/>
      <c r="G267" s="26"/>
      <c r="H267" s="26"/>
      <c r="I267" s="27" t="s">
        <v>209</v>
      </c>
    </row>
    <row r="268" spans="1:21" x14ac:dyDescent="0.25">
      <c r="A268" s="27">
        <v>2005</v>
      </c>
      <c r="B268" s="27" t="s">
        <v>126</v>
      </c>
      <c r="C268" s="26"/>
      <c r="D268" s="26"/>
      <c r="E268" s="26"/>
      <c r="F268" s="26">
        <v>22.1</v>
      </c>
      <c r="G268" s="26"/>
      <c r="H268" s="26"/>
      <c r="I268" s="27" t="s">
        <v>195</v>
      </c>
    </row>
    <row r="269" spans="1:21" x14ac:dyDescent="0.25">
      <c r="A269" s="27">
        <v>2006</v>
      </c>
      <c r="B269" s="27" t="s">
        <v>138</v>
      </c>
      <c r="C269" s="26"/>
      <c r="D269" s="26"/>
      <c r="E269" s="26"/>
      <c r="F269" s="26">
        <v>23</v>
      </c>
      <c r="G269" s="26"/>
      <c r="H269" s="26"/>
      <c r="I269" s="27" t="s">
        <v>195</v>
      </c>
    </row>
    <row r="270" spans="1:21" x14ac:dyDescent="0.25">
      <c r="A270" s="27">
        <v>2011</v>
      </c>
      <c r="B270" s="27" t="s">
        <v>141</v>
      </c>
      <c r="C270" s="26"/>
      <c r="D270" s="26"/>
      <c r="E270" s="26"/>
      <c r="F270" s="26"/>
      <c r="G270" s="26">
        <v>21.83</v>
      </c>
      <c r="H270" s="26"/>
      <c r="I270" s="27" t="s">
        <v>209</v>
      </c>
    </row>
    <row r="271" spans="1:21" x14ac:dyDescent="0.25">
      <c r="A271" s="27">
        <v>2006</v>
      </c>
      <c r="B271" s="27" t="s">
        <v>138</v>
      </c>
      <c r="C271" s="26"/>
      <c r="D271" s="26"/>
      <c r="E271" s="26"/>
      <c r="F271" s="26"/>
      <c r="G271" s="26"/>
      <c r="H271" s="26">
        <v>23</v>
      </c>
      <c r="I271" s="27" t="s">
        <v>195</v>
      </c>
    </row>
    <row r="272" spans="1:21" x14ac:dyDescent="0.25"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17" x14ac:dyDescent="0.25">
      <c r="A273" s="30" t="s">
        <v>140</v>
      </c>
      <c r="B273" s="30" t="s">
        <v>207</v>
      </c>
      <c r="C273" s="31" t="s">
        <v>208</v>
      </c>
      <c r="D273" s="31"/>
      <c r="E273" s="31"/>
      <c r="F273" s="31"/>
      <c r="G273" s="31"/>
      <c r="H273" s="31"/>
      <c r="I273" s="31"/>
      <c r="J273" s="31"/>
      <c r="L273" s="1"/>
      <c r="M273" s="1"/>
      <c r="N273" s="1"/>
      <c r="O273" s="1"/>
      <c r="P273" s="1"/>
      <c r="Q273" s="1"/>
    </row>
    <row r="274" spans="1:17" x14ac:dyDescent="0.25">
      <c r="A274" s="30" t="s">
        <v>17</v>
      </c>
      <c r="B274" s="32" t="s">
        <v>225</v>
      </c>
      <c r="C274" s="17" t="s">
        <v>246</v>
      </c>
      <c r="D274" s="17" t="s">
        <v>216</v>
      </c>
      <c r="E274" s="17" t="s">
        <v>217</v>
      </c>
      <c r="F274" s="17" t="s">
        <v>218</v>
      </c>
      <c r="G274" s="17" t="s">
        <v>219</v>
      </c>
      <c r="H274" s="17" t="s">
        <v>221</v>
      </c>
      <c r="I274" s="17" t="s">
        <v>242</v>
      </c>
      <c r="J274" s="17" t="s">
        <v>226</v>
      </c>
    </row>
    <row r="275" spans="1:17" x14ac:dyDescent="0.25">
      <c r="A275" s="15">
        <v>2011</v>
      </c>
      <c r="B275" s="15" t="s">
        <v>192</v>
      </c>
      <c r="C275" s="17">
        <v>3.6</v>
      </c>
      <c r="D275" s="17"/>
      <c r="E275" s="17"/>
      <c r="F275" s="17"/>
      <c r="G275" s="17"/>
      <c r="H275" s="17"/>
      <c r="I275" s="17"/>
      <c r="J275" s="17" t="s">
        <v>209</v>
      </c>
      <c r="L275" s="1"/>
      <c r="M275" s="1"/>
      <c r="N275" s="1"/>
      <c r="O275" s="1"/>
      <c r="P275" s="1"/>
      <c r="Q275" s="1"/>
    </row>
    <row r="276" spans="1:17" x14ac:dyDescent="0.25">
      <c r="A276" s="15">
        <v>2005</v>
      </c>
      <c r="B276" s="15" t="s">
        <v>126</v>
      </c>
      <c r="C276" s="17"/>
      <c r="D276" s="17">
        <f>0.01*(0.7*151.7+0.3*77.13)+0.8*0.001351</f>
        <v>1.2943707999999998</v>
      </c>
      <c r="E276" s="17"/>
      <c r="F276" s="17"/>
      <c r="G276" s="17"/>
      <c r="H276" s="17"/>
      <c r="I276" s="17"/>
      <c r="J276" s="17" t="s">
        <v>195</v>
      </c>
    </row>
    <row r="277" spans="1:17" x14ac:dyDescent="0.25">
      <c r="A277" s="15">
        <v>2011</v>
      </c>
      <c r="B277" s="15" t="s">
        <v>192</v>
      </c>
      <c r="C277" s="17"/>
      <c r="D277" s="17"/>
      <c r="E277" s="17">
        <v>1</v>
      </c>
      <c r="F277" s="17"/>
      <c r="G277" s="17"/>
      <c r="H277" s="17"/>
      <c r="I277" s="17"/>
      <c r="J277" s="17" t="s">
        <v>209</v>
      </c>
    </row>
    <row r="278" spans="1:17" x14ac:dyDescent="0.25">
      <c r="A278" s="15">
        <v>2005</v>
      </c>
      <c r="B278" s="15" t="s">
        <v>126</v>
      </c>
      <c r="C278" s="17"/>
      <c r="D278" s="17"/>
      <c r="E278" s="17"/>
      <c r="F278" s="17">
        <f>0.01*(0.7*50.58+0.3*8.07)+0.8*0.002644</f>
        <v>0.38038519999999998</v>
      </c>
      <c r="G278" s="17"/>
      <c r="H278" s="17"/>
      <c r="I278" s="17"/>
      <c r="J278" s="17" t="s">
        <v>195</v>
      </c>
    </row>
    <row r="279" spans="1:17" x14ac:dyDescent="0.25">
      <c r="A279" s="15">
        <v>2005</v>
      </c>
      <c r="B279" s="15" t="s">
        <v>126</v>
      </c>
      <c r="C279" s="17"/>
      <c r="D279" s="17"/>
      <c r="E279" s="17"/>
      <c r="F279" s="17"/>
      <c r="G279" s="17">
        <f>0.01*(0.7*27.58+0.3*3.27)+0.8*0.002916</f>
        <v>0.20520279999999999</v>
      </c>
      <c r="H279" s="17"/>
      <c r="I279" s="17"/>
      <c r="J279" s="17" t="s">
        <v>195</v>
      </c>
      <c r="L279" s="1"/>
      <c r="M279" s="1"/>
      <c r="N279" s="1"/>
      <c r="O279" s="1"/>
      <c r="P279" s="1"/>
      <c r="Q279" s="1"/>
    </row>
    <row r="280" spans="1:17" x14ac:dyDescent="0.25">
      <c r="A280" s="15">
        <v>2005</v>
      </c>
      <c r="B280" s="15" t="s">
        <v>126</v>
      </c>
      <c r="C280" s="17"/>
      <c r="D280" s="17"/>
      <c r="E280" s="17"/>
      <c r="F280" s="17"/>
      <c r="G280" s="17"/>
      <c r="H280" s="17">
        <f>0.01*(0.7*20.08+0.3*1.97)+0.8*0.0034</f>
        <v>0.14918999999999996</v>
      </c>
      <c r="I280" s="17"/>
      <c r="J280" s="17" t="s">
        <v>195</v>
      </c>
      <c r="L280" s="1"/>
      <c r="M280" s="1"/>
      <c r="N280" s="1"/>
      <c r="O280" s="1"/>
      <c r="P280" s="1"/>
      <c r="Q280" s="1"/>
    </row>
    <row r="281" spans="1:17" x14ac:dyDescent="0.25">
      <c r="A281" s="15">
        <v>2011</v>
      </c>
      <c r="B281" s="15" t="s">
        <v>192</v>
      </c>
      <c r="C281" s="17"/>
      <c r="D281" s="17"/>
      <c r="E281" s="17"/>
      <c r="F281" s="17"/>
      <c r="G281" s="17"/>
      <c r="H281" s="17">
        <v>0.6</v>
      </c>
      <c r="I281" s="17"/>
      <c r="J281" s="17" t="s">
        <v>209</v>
      </c>
    </row>
    <row r="282" spans="1:17" x14ac:dyDescent="0.25">
      <c r="A282" s="15">
        <v>2006</v>
      </c>
      <c r="B282" s="15" t="s">
        <v>138</v>
      </c>
      <c r="C282" s="17"/>
      <c r="D282" s="17"/>
      <c r="E282" s="17"/>
      <c r="F282" s="17"/>
      <c r="G282" s="17"/>
      <c r="H282" s="17">
        <v>2.1</v>
      </c>
      <c r="I282" s="17"/>
      <c r="J282" s="17" t="s">
        <v>195</v>
      </c>
    </row>
    <row r="283" spans="1:17" x14ac:dyDescent="0.25">
      <c r="A283" s="15">
        <v>2006</v>
      </c>
      <c r="B283" s="15" t="s">
        <v>138</v>
      </c>
      <c r="C283" s="17"/>
      <c r="D283" s="17"/>
      <c r="E283" s="17"/>
      <c r="F283" s="17"/>
      <c r="G283" s="17"/>
      <c r="H283" s="17"/>
      <c r="I283" s="17">
        <v>2.1</v>
      </c>
      <c r="J283" s="17" t="s">
        <v>195</v>
      </c>
    </row>
    <row r="285" spans="1:17" x14ac:dyDescent="0.25">
      <c r="A285" s="30" t="s">
        <v>140</v>
      </c>
      <c r="B285" s="30" t="s">
        <v>207</v>
      </c>
      <c r="C285" s="31" t="s">
        <v>208</v>
      </c>
      <c r="D285" s="31"/>
      <c r="E285" s="31"/>
      <c r="F285" s="31"/>
      <c r="G285" s="31"/>
      <c r="H285" s="31"/>
      <c r="I285" s="31"/>
      <c r="J285" s="31"/>
    </row>
    <row r="286" spans="1:17" x14ac:dyDescent="0.25">
      <c r="A286" s="30" t="s">
        <v>17</v>
      </c>
      <c r="B286" s="32" t="s">
        <v>225</v>
      </c>
      <c r="C286" s="17" t="s">
        <v>246</v>
      </c>
      <c r="D286" s="17" t="s">
        <v>216</v>
      </c>
      <c r="E286" s="17" t="s">
        <v>217</v>
      </c>
      <c r="F286" s="17" t="s">
        <v>218</v>
      </c>
      <c r="G286" s="17" t="s">
        <v>219</v>
      </c>
      <c r="H286" s="17" t="s">
        <v>221</v>
      </c>
      <c r="I286" s="17" t="s">
        <v>242</v>
      </c>
      <c r="J286" s="17" t="s">
        <v>226</v>
      </c>
    </row>
    <row r="287" spans="1:17" x14ac:dyDescent="0.25">
      <c r="A287" s="15">
        <v>2011</v>
      </c>
      <c r="B287" s="15" t="s">
        <v>192</v>
      </c>
      <c r="C287" s="17">
        <v>14</v>
      </c>
      <c r="D287" s="17"/>
      <c r="E287" s="17"/>
      <c r="F287" s="17"/>
      <c r="G287" s="17"/>
      <c r="H287" s="17"/>
      <c r="I287" s="17"/>
      <c r="J287" s="17" t="s">
        <v>209</v>
      </c>
    </row>
    <row r="288" spans="1:17" x14ac:dyDescent="0.25">
      <c r="A288" s="15">
        <v>2005</v>
      </c>
      <c r="B288" s="15" t="s">
        <v>126</v>
      </c>
      <c r="C288" s="17"/>
      <c r="D288" s="17">
        <v>16.2</v>
      </c>
      <c r="E288" s="17"/>
      <c r="F288" s="17"/>
      <c r="G288" s="17"/>
      <c r="H288" s="17"/>
      <c r="I288" s="17"/>
      <c r="J288" s="17" t="s">
        <v>195</v>
      </c>
    </row>
    <row r="289" spans="1:10" x14ac:dyDescent="0.25">
      <c r="A289" s="15">
        <v>2011</v>
      </c>
      <c r="B289" s="15" t="s">
        <v>192</v>
      </c>
      <c r="C289" s="17"/>
      <c r="D289" s="17"/>
      <c r="E289" s="17">
        <v>13</v>
      </c>
      <c r="F289" s="17"/>
      <c r="G289" s="17"/>
      <c r="H289" s="17"/>
      <c r="I289" s="17"/>
      <c r="J289" s="17" t="s">
        <v>209</v>
      </c>
    </row>
    <row r="290" spans="1:10" x14ac:dyDescent="0.25">
      <c r="A290" s="15">
        <v>2005</v>
      </c>
      <c r="B290" s="15" t="s">
        <v>126</v>
      </c>
      <c r="C290" s="17"/>
      <c r="D290" s="17"/>
      <c r="E290" s="17"/>
      <c r="F290" s="17">
        <v>15.7</v>
      </c>
      <c r="G290" s="17"/>
      <c r="H290" s="17"/>
      <c r="I290" s="17"/>
      <c r="J290" s="17" t="s">
        <v>195</v>
      </c>
    </row>
    <row r="291" spans="1:10" x14ac:dyDescent="0.25">
      <c r="A291" s="15">
        <v>2005</v>
      </c>
      <c r="B291" s="15" t="s">
        <v>126</v>
      </c>
      <c r="C291" s="17"/>
      <c r="D291" s="17"/>
      <c r="E291" s="17"/>
      <c r="F291" s="17"/>
      <c r="G291" s="17">
        <v>15.3</v>
      </c>
      <c r="H291" s="17"/>
      <c r="I291" s="17"/>
      <c r="J291" s="17" t="s">
        <v>195</v>
      </c>
    </row>
    <row r="292" spans="1:10" x14ac:dyDescent="0.25">
      <c r="A292" s="15">
        <v>2005</v>
      </c>
      <c r="B292" s="15" t="s">
        <v>126</v>
      </c>
      <c r="C292" s="17"/>
      <c r="D292" s="17"/>
      <c r="E292" s="17"/>
      <c r="F292" s="17"/>
      <c r="G292" s="17"/>
      <c r="H292" s="17">
        <v>14.8</v>
      </c>
      <c r="I292" s="17"/>
      <c r="J292" s="17" t="s">
        <v>195</v>
      </c>
    </row>
    <row r="293" spans="1:10" x14ac:dyDescent="0.25">
      <c r="A293" s="15">
        <v>2011</v>
      </c>
      <c r="B293" s="15" t="s">
        <v>192</v>
      </c>
      <c r="C293" s="17"/>
      <c r="D293" s="17"/>
      <c r="E293" s="17"/>
      <c r="F293" s="17"/>
      <c r="G293" s="17"/>
      <c r="H293" s="17">
        <v>12</v>
      </c>
      <c r="I293" s="17"/>
      <c r="J293" s="17" t="s">
        <v>209</v>
      </c>
    </row>
    <row r="294" spans="1:10" x14ac:dyDescent="0.25">
      <c r="A294" s="15">
        <v>2006</v>
      </c>
      <c r="B294" s="15" t="s">
        <v>138</v>
      </c>
      <c r="C294" s="17"/>
      <c r="D294" s="17"/>
      <c r="E294" s="17"/>
      <c r="F294" s="17"/>
      <c r="G294" s="17"/>
      <c r="H294" s="17">
        <v>17</v>
      </c>
      <c r="I294" s="17"/>
      <c r="J294" s="17" t="s">
        <v>195</v>
      </c>
    </row>
    <row r="295" spans="1:10" x14ac:dyDescent="0.25">
      <c r="A295" s="15">
        <v>2006</v>
      </c>
      <c r="B295" s="15" t="s">
        <v>138</v>
      </c>
      <c r="C295" s="17"/>
      <c r="D295" s="17"/>
      <c r="E295" s="17"/>
      <c r="F295" s="17"/>
      <c r="G295" s="17"/>
      <c r="H295" s="17"/>
      <c r="I295" s="17">
        <v>17</v>
      </c>
      <c r="J295" s="17" t="s">
        <v>195</v>
      </c>
    </row>
  </sheetData>
  <sortState ref="Q3:Z40">
    <sortCondition ref="Q1"/>
  </sortState>
  <pageMargins left="0.7" right="0.7" top="0.75" bottom="0.75" header="0.3" footer="0.3"/>
  <pageSetup orientation="portrait" horizontalDpi="0" verticalDpi="0"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8" sqref="L18"/>
    </sheetView>
  </sheetViews>
  <sheetFormatPr defaultRowHeight="15" x14ac:dyDescent="0.25"/>
  <sheetData>
    <row r="1" spans="1:1" x14ac:dyDescent="0.25">
      <c r="A1" t="s">
        <v>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9" sqref="B19"/>
    </sheetView>
  </sheetViews>
  <sheetFormatPr defaultRowHeight="15" x14ac:dyDescent="0.25"/>
  <cols>
    <col min="1" max="1" width="12.85546875" customWidth="1"/>
    <col min="2" max="2" width="30.7109375" customWidth="1"/>
    <col min="3" max="3" width="26.5703125" customWidth="1"/>
    <col min="4" max="4" width="21.85546875" customWidth="1"/>
    <col min="5" max="5" width="20.7109375" customWidth="1"/>
  </cols>
  <sheetData>
    <row r="1" spans="1:3" x14ac:dyDescent="0.25">
      <c r="A1" s="1" t="s">
        <v>17</v>
      </c>
      <c r="B1" s="1" t="s">
        <v>18</v>
      </c>
    </row>
    <row r="2" spans="1:3" x14ac:dyDescent="0.25">
      <c r="A2" s="1">
        <v>1987</v>
      </c>
      <c r="B2" s="1" t="s">
        <v>3</v>
      </c>
    </row>
    <row r="3" spans="1:3" x14ac:dyDescent="0.25">
      <c r="A3" s="1">
        <v>1990</v>
      </c>
      <c r="B3" s="1" t="s">
        <v>2</v>
      </c>
    </row>
    <row r="4" spans="1:3" x14ac:dyDescent="0.25">
      <c r="A4" s="1">
        <v>1993</v>
      </c>
      <c r="B4" s="1" t="s">
        <v>6</v>
      </c>
    </row>
    <row r="5" spans="1:3" x14ac:dyDescent="0.25">
      <c r="A5" s="1">
        <v>1996</v>
      </c>
      <c r="B5" s="1" t="s">
        <v>4</v>
      </c>
    </row>
    <row r="6" spans="1:3" x14ac:dyDescent="0.25">
      <c r="A6" s="5">
        <v>2001</v>
      </c>
      <c r="B6" s="5" t="s">
        <v>5</v>
      </c>
      <c r="C6" t="s">
        <v>162</v>
      </c>
    </row>
    <row r="7" spans="1:3" x14ac:dyDescent="0.25">
      <c r="A7" s="5">
        <v>2005</v>
      </c>
      <c r="B7" s="6" t="s">
        <v>10</v>
      </c>
    </row>
    <row r="8" spans="1:3" x14ac:dyDescent="0.25">
      <c r="A8" s="1">
        <v>2006</v>
      </c>
      <c r="B8" s="1" t="s">
        <v>11</v>
      </c>
    </row>
    <row r="9" spans="1:3" x14ac:dyDescent="0.25">
      <c r="A9" s="1">
        <v>2011</v>
      </c>
      <c r="B9" s="1" t="s">
        <v>8</v>
      </c>
    </row>
    <row r="10" spans="1:3" x14ac:dyDescent="0.25">
      <c r="A10" s="1">
        <v>2011</v>
      </c>
      <c r="B10" s="1" t="s">
        <v>7</v>
      </c>
      <c r="C10" t="s">
        <v>161</v>
      </c>
    </row>
    <row r="11" spans="1:3" x14ac:dyDescent="0.25">
      <c r="A11" s="1">
        <v>2011</v>
      </c>
      <c r="B11" s="2" t="s">
        <v>9</v>
      </c>
    </row>
    <row r="12" spans="1:3" x14ac:dyDescent="0.25">
      <c r="A12" s="4">
        <v>2011</v>
      </c>
      <c r="B12" s="4" t="s">
        <v>1</v>
      </c>
    </row>
    <row r="13" spans="1:3" x14ac:dyDescent="0.25">
      <c r="A13" s="1">
        <v>2013</v>
      </c>
      <c r="B13" s="1" t="s">
        <v>0</v>
      </c>
    </row>
    <row r="14" spans="1:3" x14ac:dyDescent="0.25">
      <c r="A14" s="4"/>
      <c r="B14" s="4"/>
    </row>
    <row r="17" spans="1:5" x14ac:dyDescent="0.25">
      <c r="A17" t="s">
        <v>196</v>
      </c>
    </row>
    <row r="18" spans="1:5" x14ac:dyDescent="0.25">
      <c r="A18" t="s">
        <v>201</v>
      </c>
      <c r="B18" t="s">
        <v>202</v>
      </c>
    </row>
    <row r="19" spans="1:5" x14ac:dyDescent="0.25">
      <c r="B19" s="9" t="s">
        <v>200</v>
      </c>
    </row>
    <row r="20" spans="1:5" x14ac:dyDescent="0.25">
      <c r="A20" t="s">
        <v>197</v>
      </c>
      <c r="B20" t="s">
        <v>198</v>
      </c>
      <c r="C20" t="s">
        <v>199</v>
      </c>
      <c r="D20" t="s">
        <v>203</v>
      </c>
      <c r="E20" t="s">
        <v>204</v>
      </c>
    </row>
    <row r="21" spans="1:5" x14ac:dyDescent="0.25">
      <c r="A21">
        <v>590</v>
      </c>
      <c r="B21">
        <v>14400.8</v>
      </c>
      <c r="C21">
        <v>28324.400000000001</v>
      </c>
      <c r="D21">
        <f>B21*2.303*150/64500</f>
        <v>77.128005581395342</v>
      </c>
      <c r="E21">
        <f>C21*2.303*150/64500</f>
        <v>151.70021674418606</v>
      </c>
    </row>
    <row r="22" spans="1:5" x14ac:dyDescent="0.25">
      <c r="A22">
        <v>610</v>
      </c>
      <c r="B22">
        <v>1506</v>
      </c>
      <c r="C22">
        <v>9443.6</v>
      </c>
      <c r="D22">
        <f t="shared" ref="D22:E24" si="0">B22*2.303*150/64500</f>
        <v>8.0658558139534868</v>
      </c>
      <c r="E22">
        <f t="shared" si="0"/>
        <v>50.578164651162787</v>
      </c>
    </row>
    <row r="23" spans="1:5" x14ac:dyDescent="0.25">
      <c r="A23">
        <v>630</v>
      </c>
      <c r="B23">
        <v>610</v>
      </c>
      <c r="C23">
        <v>5148.8</v>
      </c>
      <c r="D23">
        <f t="shared" si="0"/>
        <v>3.2670465116279068</v>
      </c>
      <c r="E23">
        <f t="shared" si="0"/>
        <v>27.57601488372093</v>
      </c>
    </row>
    <row r="24" spans="1:5" x14ac:dyDescent="0.25">
      <c r="A24">
        <v>650</v>
      </c>
      <c r="B24">
        <v>368</v>
      </c>
      <c r="C24">
        <v>3750.12</v>
      </c>
      <c r="D24">
        <f t="shared" si="0"/>
        <v>1.9709395348837211</v>
      </c>
      <c r="E24">
        <f t="shared" si="0"/>
        <v>20.084945023255813</v>
      </c>
    </row>
  </sheetData>
  <hyperlinks>
    <hyperlink ref="B19" r:id="rId1"/>
  </hyperlink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" sqref="J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O1" sqref="O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>
      <selection activeCell="G256" sqref="G25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39"/>
  <sheetViews>
    <sheetView workbookViewId="0">
      <selection activeCell="K15" sqref="K15"/>
    </sheetView>
  </sheetViews>
  <sheetFormatPr defaultRowHeight="15" x14ac:dyDescent="0.25"/>
  <cols>
    <col min="2" max="2" width="13.28515625" customWidth="1"/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630</v>
      </c>
      <c r="D2" t="s">
        <v>23</v>
      </c>
      <c r="I2">
        <v>0.77</v>
      </c>
      <c r="L2" t="s">
        <v>50</v>
      </c>
    </row>
    <row r="3" spans="1:12" x14ac:dyDescent="0.25">
      <c r="A3">
        <v>1996</v>
      </c>
      <c r="B3" t="s">
        <v>124</v>
      </c>
      <c r="C3">
        <v>633</v>
      </c>
      <c r="D3" t="s">
        <v>23</v>
      </c>
      <c r="E3">
        <v>2.5999999999999999E-3</v>
      </c>
      <c r="F3" t="s">
        <v>42</v>
      </c>
      <c r="J3">
        <v>1.2</v>
      </c>
      <c r="K3" t="s">
        <v>42</v>
      </c>
      <c r="L3" t="s">
        <v>125</v>
      </c>
    </row>
    <row r="4" spans="1:12" x14ac:dyDescent="0.25">
      <c r="A4">
        <v>1996</v>
      </c>
      <c r="B4" t="s">
        <v>124</v>
      </c>
      <c r="C4">
        <v>751</v>
      </c>
      <c r="D4" t="s">
        <v>23</v>
      </c>
      <c r="E4">
        <v>2.0999999999999999E-3</v>
      </c>
      <c r="F4" t="s">
        <v>42</v>
      </c>
      <c r="J4">
        <v>1</v>
      </c>
      <c r="K4" t="s">
        <v>42</v>
      </c>
      <c r="L4" t="s">
        <v>125</v>
      </c>
    </row>
    <row r="5" spans="1:12" x14ac:dyDescent="0.25">
      <c r="A5">
        <v>2005</v>
      </c>
      <c r="B5" t="s">
        <v>126</v>
      </c>
      <c r="C5">
        <v>590</v>
      </c>
      <c r="D5" t="s">
        <v>23</v>
      </c>
      <c r="E5">
        <f>0.0033*(0.7*151.7+(1-0.7)*77.13)+0.5*0.001351</f>
        <v>0.42746119999999993</v>
      </c>
      <c r="F5" t="s">
        <v>24</v>
      </c>
      <c r="J5">
        <f>38*POWER(590,-0.53)</f>
        <v>1.2919093174559071</v>
      </c>
      <c r="K5" t="s">
        <v>42</v>
      </c>
      <c r="L5" t="s">
        <v>128</v>
      </c>
    </row>
    <row r="6" spans="1:12" x14ac:dyDescent="0.25">
      <c r="A6">
        <v>2005</v>
      </c>
      <c r="B6" t="s">
        <v>126</v>
      </c>
      <c r="C6">
        <v>610</v>
      </c>
      <c r="D6" t="s">
        <v>23</v>
      </c>
      <c r="E6">
        <f>0.0033*(0.7*50.58+(1-0.7)*8.07)+0.5*0.002644</f>
        <v>0.12615109999999999</v>
      </c>
      <c r="F6" t="s">
        <v>24</v>
      </c>
      <c r="J6">
        <f>38*POWER(610,-0.53)</f>
        <v>1.2692839371300553</v>
      </c>
      <c r="K6" t="s">
        <v>42</v>
      </c>
      <c r="L6" t="s">
        <v>128</v>
      </c>
    </row>
    <row r="7" spans="1:12" x14ac:dyDescent="0.25">
      <c r="A7">
        <v>2005</v>
      </c>
      <c r="B7" t="s">
        <v>126</v>
      </c>
      <c r="C7">
        <v>630</v>
      </c>
      <c r="D7" t="s">
        <v>23</v>
      </c>
      <c r="E7">
        <f>0.0033*(0.7*27.58+(1-0.7)*3.27)+0.5*0.002916</f>
        <v>6.8405099999999996E-2</v>
      </c>
      <c r="F7" t="s">
        <v>24</v>
      </c>
      <c r="J7">
        <f>38*POWER(630,-0.53)</f>
        <v>1.2477658790729083</v>
      </c>
      <c r="K7" t="s">
        <v>42</v>
      </c>
      <c r="L7" t="s">
        <v>128</v>
      </c>
    </row>
    <row r="8" spans="1:12" x14ac:dyDescent="0.25">
      <c r="A8">
        <v>2005</v>
      </c>
      <c r="B8" t="s">
        <v>126</v>
      </c>
      <c r="C8">
        <v>650</v>
      </c>
      <c r="D8" t="s">
        <v>23</v>
      </c>
      <c r="E8">
        <f>0.0033*(0.7*20.08+(1-0.7)*1.97)+0.5*0.0034</f>
        <v>5.0035099999999992E-2</v>
      </c>
      <c r="F8" t="s">
        <v>24</v>
      </c>
      <c r="J8">
        <f>38*POWER(650,-0.53)</f>
        <v>1.2272683026542803</v>
      </c>
      <c r="K8" t="s">
        <v>42</v>
      </c>
      <c r="L8" t="s">
        <v>128</v>
      </c>
    </row>
    <row r="9" spans="1:12" x14ac:dyDescent="0.25">
      <c r="A9">
        <v>2011</v>
      </c>
      <c r="B9" t="s">
        <v>163</v>
      </c>
      <c r="C9">
        <v>400</v>
      </c>
      <c r="D9" t="s">
        <v>23</v>
      </c>
      <c r="E9">
        <v>2.2599999999999998</v>
      </c>
      <c r="F9" t="s">
        <v>24</v>
      </c>
      <c r="J9">
        <v>13.4</v>
      </c>
      <c r="K9" t="s">
        <v>24</v>
      </c>
      <c r="L9" t="s">
        <v>171</v>
      </c>
    </row>
    <row r="10" spans="1:12" x14ac:dyDescent="0.25">
      <c r="A10">
        <v>2011</v>
      </c>
      <c r="B10" t="s">
        <v>163</v>
      </c>
      <c r="C10">
        <v>500</v>
      </c>
      <c r="D10" t="s">
        <v>23</v>
      </c>
      <c r="E10">
        <v>1.49</v>
      </c>
      <c r="F10" t="s">
        <v>24</v>
      </c>
      <c r="J10">
        <v>13.8</v>
      </c>
      <c r="K10" t="s">
        <v>24</v>
      </c>
      <c r="L10" t="s">
        <v>171</v>
      </c>
    </row>
    <row r="11" spans="1:12" x14ac:dyDescent="0.25">
      <c r="A11">
        <v>2011</v>
      </c>
      <c r="B11" t="s">
        <v>163</v>
      </c>
      <c r="C11">
        <v>600</v>
      </c>
      <c r="D11" t="s">
        <v>23</v>
      </c>
      <c r="E11">
        <v>1.18</v>
      </c>
      <c r="F11" t="s">
        <v>24</v>
      </c>
      <c r="J11">
        <v>13.4</v>
      </c>
      <c r="K11" t="s">
        <v>24</v>
      </c>
      <c r="L11" t="s">
        <v>171</v>
      </c>
    </row>
    <row r="12" spans="1:12" x14ac:dyDescent="0.25">
      <c r="A12">
        <v>2011</v>
      </c>
      <c r="B12" t="s">
        <v>163</v>
      </c>
      <c r="C12">
        <v>700</v>
      </c>
      <c r="D12" t="s">
        <v>23</v>
      </c>
      <c r="E12">
        <v>1.1100000000000001</v>
      </c>
      <c r="F12" t="s">
        <v>24</v>
      </c>
      <c r="J12">
        <v>12.2</v>
      </c>
      <c r="K12" t="s">
        <v>24</v>
      </c>
      <c r="L12" t="s">
        <v>171</v>
      </c>
    </row>
    <row r="13" spans="1:12" x14ac:dyDescent="0.25">
      <c r="A13">
        <v>2011</v>
      </c>
      <c r="B13" t="s">
        <v>163</v>
      </c>
      <c r="C13">
        <v>800</v>
      </c>
      <c r="D13" t="s">
        <v>23</v>
      </c>
      <c r="E13">
        <v>1.07</v>
      </c>
      <c r="F13" t="s">
        <v>24</v>
      </c>
      <c r="J13">
        <v>11.6</v>
      </c>
      <c r="K13" t="s">
        <v>24</v>
      </c>
      <c r="L13" t="s">
        <v>171</v>
      </c>
    </row>
    <row r="14" spans="1:12" x14ac:dyDescent="0.25">
      <c r="A14">
        <v>2011</v>
      </c>
      <c r="B14" t="s">
        <v>163</v>
      </c>
      <c r="C14">
        <v>400</v>
      </c>
      <c r="D14" t="s">
        <v>23</v>
      </c>
      <c r="E14">
        <v>15.98</v>
      </c>
      <c r="F14" t="s">
        <v>24</v>
      </c>
      <c r="J14">
        <v>49.5</v>
      </c>
      <c r="K14" t="s">
        <v>24</v>
      </c>
      <c r="L14" t="s">
        <v>171</v>
      </c>
    </row>
    <row r="15" spans="1:12" x14ac:dyDescent="0.25">
      <c r="A15">
        <v>2011</v>
      </c>
      <c r="B15" t="s">
        <v>163</v>
      </c>
      <c r="C15">
        <v>500</v>
      </c>
      <c r="D15" t="s">
        <v>23</v>
      </c>
      <c r="E15">
        <v>5.5</v>
      </c>
      <c r="F15" t="s">
        <v>172</v>
      </c>
      <c r="J15">
        <v>35.4</v>
      </c>
      <c r="K15" t="s">
        <v>24</v>
      </c>
      <c r="L15" t="s">
        <v>171</v>
      </c>
    </row>
    <row r="16" spans="1:12" x14ac:dyDescent="0.25">
      <c r="A16">
        <v>2011</v>
      </c>
      <c r="B16" t="s">
        <v>163</v>
      </c>
      <c r="C16">
        <v>600</v>
      </c>
      <c r="D16" t="s">
        <v>23</v>
      </c>
      <c r="E16">
        <v>1.89</v>
      </c>
      <c r="F16" t="s">
        <v>24</v>
      </c>
      <c r="J16">
        <v>27</v>
      </c>
      <c r="K16" t="s">
        <v>24</v>
      </c>
      <c r="L16" t="s">
        <v>171</v>
      </c>
    </row>
    <row r="17" spans="1:12" x14ac:dyDescent="0.25">
      <c r="A17">
        <v>2011</v>
      </c>
      <c r="B17" t="s">
        <v>163</v>
      </c>
      <c r="C17">
        <v>700</v>
      </c>
      <c r="D17" t="s">
        <v>23</v>
      </c>
      <c r="E17">
        <v>1.27</v>
      </c>
      <c r="F17" t="s">
        <v>24</v>
      </c>
      <c r="J17">
        <v>23</v>
      </c>
      <c r="K17" t="s">
        <v>24</v>
      </c>
      <c r="L17" t="s">
        <v>171</v>
      </c>
    </row>
    <row r="18" spans="1:12" x14ac:dyDescent="0.25">
      <c r="A18">
        <v>2011</v>
      </c>
      <c r="B18" t="s">
        <v>163</v>
      </c>
      <c r="C18">
        <v>800</v>
      </c>
      <c r="D18" t="s">
        <v>23</v>
      </c>
      <c r="E18">
        <v>1.08</v>
      </c>
      <c r="F18" t="s">
        <v>24</v>
      </c>
      <c r="J18">
        <v>20.2</v>
      </c>
      <c r="K18" t="s">
        <v>24</v>
      </c>
      <c r="L18" t="s">
        <v>171</v>
      </c>
    </row>
    <row r="19" spans="1:12" x14ac:dyDescent="0.25">
      <c r="A19">
        <v>2011</v>
      </c>
      <c r="B19" t="s">
        <v>163</v>
      </c>
      <c r="C19">
        <v>400</v>
      </c>
      <c r="D19" t="s">
        <v>23</v>
      </c>
      <c r="E19">
        <v>2.25</v>
      </c>
      <c r="F19" t="s">
        <v>24</v>
      </c>
      <c r="J19">
        <v>19.8</v>
      </c>
      <c r="K19" t="s">
        <v>24</v>
      </c>
      <c r="L19" t="s">
        <v>173</v>
      </c>
    </row>
    <row r="20" spans="1:12" x14ac:dyDescent="0.25">
      <c r="A20">
        <v>2011</v>
      </c>
      <c r="B20" t="s">
        <v>163</v>
      </c>
      <c r="C20">
        <v>500</v>
      </c>
      <c r="D20" t="s">
        <v>23</v>
      </c>
      <c r="E20">
        <v>0.64</v>
      </c>
      <c r="F20" t="s">
        <v>24</v>
      </c>
      <c r="J20">
        <v>14.3</v>
      </c>
      <c r="K20" t="s">
        <v>24</v>
      </c>
      <c r="L20" t="s">
        <v>173</v>
      </c>
    </row>
    <row r="21" spans="1:12" x14ac:dyDescent="0.25">
      <c r="A21">
        <v>2011</v>
      </c>
      <c r="B21" t="s">
        <v>163</v>
      </c>
      <c r="C21">
        <v>600</v>
      </c>
      <c r="D21" t="s">
        <v>23</v>
      </c>
      <c r="E21">
        <v>0.64</v>
      </c>
      <c r="F21" t="s">
        <v>24</v>
      </c>
      <c r="J21">
        <v>12.2</v>
      </c>
      <c r="K21" t="s">
        <v>24</v>
      </c>
      <c r="L21" t="s">
        <v>173</v>
      </c>
    </row>
    <row r="22" spans="1:12" x14ac:dyDescent="0.25">
      <c r="A22">
        <v>2011</v>
      </c>
      <c r="B22" t="s">
        <v>163</v>
      </c>
      <c r="C22">
        <v>700</v>
      </c>
      <c r="D22" t="s">
        <v>23</v>
      </c>
      <c r="E22">
        <v>0.75</v>
      </c>
      <c r="F22" t="s">
        <v>24</v>
      </c>
      <c r="J22">
        <v>11.4</v>
      </c>
      <c r="K22" t="s">
        <v>24</v>
      </c>
      <c r="L22" t="s">
        <v>173</v>
      </c>
    </row>
    <row r="23" spans="1:12" x14ac:dyDescent="0.25">
      <c r="A23">
        <v>2011</v>
      </c>
      <c r="B23" t="s">
        <v>163</v>
      </c>
      <c r="C23">
        <v>800</v>
      </c>
      <c r="D23" t="s">
        <v>23</v>
      </c>
      <c r="E23">
        <v>1.05</v>
      </c>
      <c r="F23" t="s">
        <v>24</v>
      </c>
      <c r="J23">
        <v>11</v>
      </c>
      <c r="K23" t="s">
        <v>24</v>
      </c>
      <c r="L23" t="s">
        <v>173</v>
      </c>
    </row>
    <row r="24" spans="1:12" x14ac:dyDescent="0.25">
      <c r="A24">
        <v>2013</v>
      </c>
      <c r="B24" t="s">
        <v>27</v>
      </c>
      <c r="C24">
        <v>590</v>
      </c>
      <c r="D24" t="s">
        <v>23</v>
      </c>
      <c r="J24">
        <f>13.7*POWER(C24/500,-0.385)</f>
        <v>12.854227865791854</v>
      </c>
      <c r="K24" t="s">
        <v>24</v>
      </c>
      <c r="L24" t="s">
        <v>189</v>
      </c>
    </row>
    <row r="25" spans="1:12" x14ac:dyDescent="0.25">
      <c r="A25">
        <v>2013</v>
      </c>
      <c r="B25" t="s">
        <v>27</v>
      </c>
      <c r="C25">
        <v>610</v>
      </c>
      <c r="D25" t="s">
        <v>23</v>
      </c>
      <c r="J25">
        <f t="shared" ref="J25:J27" si="0">13.7*POWER(C25/500,-0.385)</f>
        <v>12.690304189175214</v>
      </c>
      <c r="K25" t="s">
        <v>24</v>
      </c>
      <c r="L25" t="s">
        <v>189</v>
      </c>
    </row>
    <row r="26" spans="1:12" x14ac:dyDescent="0.25">
      <c r="A26">
        <v>2013</v>
      </c>
      <c r="B26" t="s">
        <v>27</v>
      </c>
      <c r="C26">
        <v>630</v>
      </c>
      <c r="D26" t="s">
        <v>23</v>
      </c>
      <c r="J26">
        <f t="shared" si="0"/>
        <v>12.533659937899532</v>
      </c>
      <c r="K26" t="s">
        <v>24</v>
      </c>
      <c r="L26" t="s">
        <v>189</v>
      </c>
    </row>
    <row r="27" spans="1:12" x14ac:dyDescent="0.25">
      <c r="A27">
        <v>2013</v>
      </c>
      <c r="B27" t="s">
        <v>27</v>
      </c>
      <c r="C27">
        <v>650</v>
      </c>
      <c r="D27" t="s">
        <v>23</v>
      </c>
      <c r="J27">
        <f t="shared" si="0"/>
        <v>12.383755717690052</v>
      </c>
      <c r="K27" t="s">
        <v>24</v>
      </c>
      <c r="L27" t="s">
        <v>189</v>
      </c>
    </row>
    <row r="28" spans="1:12" x14ac:dyDescent="0.25">
      <c r="A28">
        <v>2013</v>
      </c>
      <c r="B28" t="s">
        <v>27</v>
      </c>
      <c r="C28">
        <v>590</v>
      </c>
      <c r="D28" t="s">
        <v>23</v>
      </c>
      <c r="J28">
        <f>10.6*POWER(C28/500,-0.52)</f>
        <v>9.7258422565310116</v>
      </c>
      <c r="K28" t="s">
        <v>24</v>
      </c>
      <c r="L28" t="s">
        <v>190</v>
      </c>
    </row>
    <row r="29" spans="1:12" x14ac:dyDescent="0.25">
      <c r="A29">
        <v>2013</v>
      </c>
      <c r="B29" t="s">
        <v>27</v>
      </c>
      <c r="C29">
        <v>610</v>
      </c>
      <c r="D29" t="s">
        <v>23</v>
      </c>
      <c r="J29">
        <f t="shared" ref="J29:J31" si="1">10.6*POWER(C29/500,-0.52)</f>
        <v>9.5586982796003443</v>
      </c>
      <c r="K29" t="s">
        <v>24</v>
      </c>
      <c r="L29" t="s">
        <v>190</v>
      </c>
    </row>
    <row r="30" spans="1:12" x14ac:dyDescent="0.25">
      <c r="A30">
        <v>2013</v>
      </c>
      <c r="B30" t="s">
        <v>27</v>
      </c>
      <c r="C30">
        <v>630</v>
      </c>
      <c r="D30" t="s">
        <v>23</v>
      </c>
      <c r="J30">
        <f t="shared" si="1"/>
        <v>9.3996824446103862</v>
      </c>
      <c r="K30" t="s">
        <v>24</v>
      </c>
      <c r="L30" t="s">
        <v>190</v>
      </c>
    </row>
    <row r="31" spans="1:12" x14ac:dyDescent="0.25">
      <c r="A31">
        <v>2013</v>
      </c>
      <c r="B31" t="s">
        <v>27</v>
      </c>
      <c r="C31">
        <v>650</v>
      </c>
      <c r="D31" t="s">
        <v>23</v>
      </c>
      <c r="J31">
        <f t="shared" si="1"/>
        <v>9.2481597297364324</v>
      </c>
      <c r="K31" t="s">
        <v>24</v>
      </c>
      <c r="L31" t="s">
        <v>190</v>
      </c>
    </row>
    <row r="32" spans="1:12" x14ac:dyDescent="0.25">
      <c r="A32">
        <v>2013</v>
      </c>
      <c r="B32" t="s">
        <v>27</v>
      </c>
      <c r="C32">
        <v>590</v>
      </c>
      <c r="D32" t="s">
        <v>23</v>
      </c>
      <c r="J32">
        <f>35.2*POWER(C32/500,-0.988)</f>
        <v>29.88981591081761</v>
      </c>
      <c r="K32" t="s">
        <v>24</v>
      </c>
      <c r="L32" t="s">
        <v>191</v>
      </c>
    </row>
    <row r="33" spans="1:12" x14ac:dyDescent="0.25">
      <c r="A33">
        <v>2013</v>
      </c>
      <c r="B33" t="s">
        <v>27</v>
      </c>
      <c r="C33">
        <v>610</v>
      </c>
      <c r="D33" t="s">
        <v>23</v>
      </c>
      <c r="J33">
        <f t="shared" ref="J33:J35" si="2">35.2*POWER(C33/500,-0.988)</f>
        <v>28.921389259742387</v>
      </c>
      <c r="K33" t="s">
        <v>24</v>
      </c>
      <c r="L33" t="s">
        <v>191</v>
      </c>
    </row>
    <row r="34" spans="1:12" x14ac:dyDescent="0.25">
      <c r="A34">
        <v>2013</v>
      </c>
      <c r="B34" t="s">
        <v>27</v>
      </c>
      <c r="C34">
        <v>630</v>
      </c>
      <c r="D34" t="s">
        <v>23</v>
      </c>
      <c r="J34">
        <f t="shared" si="2"/>
        <v>28.014092924703551</v>
      </c>
      <c r="K34" t="s">
        <v>24</v>
      </c>
      <c r="L34" t="s">
        <v>191</v>
      </c>
    </row>
    <row r="35" spans="1:12" x14ac:dyDescent="0.25">
      <c r="A35">
        <v>2013</v>
      </c>
      <c r="B35" t="s">
        <v>27</v>
      </c>
      <c r="C35">
        <v>650</v>
      </c>
      <c r="D35" t="s">
        <v>23</v>
      </c>
      <c r="J35">
        <f t="shared" si="2"/>
        <v>27.162305618447061</v>
      </c>
      <c r="K35" t="s">
        <v>24</v>
      </c>
      <c r="L35" t="s">
        <v>191</v>
      </c>
    </row>
    <row r="36" spans="1:12" x14ac:dyDescent="0.25">
      <c r="A36">
        <v>2013</v>
      </c>
      <c r="B36" t="s">
        <v>27</v>
      </c>
      <c r="C36">
        <v>590</v>
      </c>
      <c r="D36" t="s">
        <v>23</v>
      </c>
      <c r="J36">
        <f>21.6*POWER(C36/500,-0.93)</f>
        <v>18.518401009411967</v>
      </c>
      <c r="K36" t="s">
        <v>24</v>
      </c>
      <c r="L36" t="s">
        <v>191</v>
      </c>
    </row>
    <row r="37" spans="1:12" x14ac:dyDescent="0.25">
      <c r="A37">
        <v>2013</v>
      </c>
      <c r="B37" t="s">
        <v>27</v>
      </c>
      <c r="C37">
        <v>610</v>
      </c>
      <c r="D37" t="s">
        <v>23</v>
      </c>
      <c r="J37">
        <f t="shared" ref="J37:J39" si="3">21.6*POWER(C37/500,-0.93)</f>
        <v>17.953085890381171</v>
      </c>
      <c r="K37" t="s">
        <v>24</v>
      </c>
      <c r="L37" t="s">
        <v>191</v>
      </c>
    </row>
    <row r="38" spans="1:12" x14ac:dyDescent="0.25">
      <c r="A38">
        <v>2013</v>
      </c>
      <c r="B38" t="s">
        <v>27</v>
      </c>
      <c r="C38">
        <v>630</v>
      </c>
      <c r="D38" t="s">
        <v>23</v>
      </c>
      <c r="J38">
        <f t="shared" si="3"/>
        <v>17.422446684855721</v>
      </c>
      <c r="K38" t="s">
        <v>24</v>
      </c>
      <c r="L38" t="s">
        <v>191</v>
      </c>
    </row>
    <row r="39" spans="1:12" x14ac:dyDescent="0.25">
      <c r="A39">
        <v>2013</v>
      </c>
      <c r="B39" t="s">
        <v>27</v>
      </c>
      <c r="C39">
        <v>650</v>
      </c>
      <c r="D39" t="s">
        <v>23</v>
      </c>
      <c r="J39">
        <f t="shared" si="3"/>
        <v>16.923353784249013</v>
      </c>
      <c r="K39" t="s">
        <v>24</v>
      </c>
      <c r="L39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2" sqref="A22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6.42578125" customWidth="1"/>
    <col min="7" max="7" width="4.85546875" customWidth="1"/>
    <col min="8" max="8" width="9.7109375" customWidth="1"/>
    <col min="9" max="9" width="6.140625" customWidth="1"/>
    <col min="10" max="10" width="12.85546875" customWidth="1"/>
    <col min="11" max="11" width="17.28515625" customWidth="1"/>
    <col min="12" max="12" width="5.7109375" customWidth="1"/>
  </cols>
  <sheetData>
    <row r="1" spans="1:13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 t="s">
        <v>32</v>
      </c>
      <c r="G1" s="1"/>
      <c r="H1" s="1" t="s">
        <v>20</v>
      </c>
      <c r="I1" s="1"/>
      <c r="J1" s="1" t="s">
        <v>21</v>
      </c>
      <c r="K1" s="1" t="s">
        <v>28</v>
      </c>
      <c r="M1" t="s">
        <v>29</v>
      </c>
    </row>
    <row r="2" spans="1:13" x14ac:dyDescent="0.25">
      <c r="A2">
        <v>1990</v>
      </c>
      <c r="B2" t="s">
        <v>31</v>
      </c>
      <c r="C2">
        <v>633</v>
      </c>
      <c r="D2" t="s">
        <v>23</v>
      </c>
      <c r="E2">
        <v>2.2999999999999998</v>
      </c>
      <c r="G2" t="s">
        <v>24</v>
      </c>
      <c r="H2">
        <v>315</v>
      </c>
      <c r="I2" t="s">
        <v>24</v>
      </c>
      <c r="J2">
        <v>0.87</v>
      </c>
      <c r="M2" t="s">
        <v>51</v>
      </c>
    </row>
    <row r="3" spans="1:13" x14ac:dyDescent="0.25">
      <c r="A3">
        <v>1990</v>
      </c>
      <c r="B3" t="s">
        <v>31</v>
      </c>
      <c r="C3">
        <v>633</v>
      </c>
      <c r="D3" t="s">
        <v>23</v>
      </c>
      <c r="E3">
        <v>0.52</v>
      </c>
      <c r="G3" t="s">
        <v>24</v>
      </c>
      <c r="H3">
        <v>310</v>
      </c>
      <c r="I3" t="s">
        <v>24</v>
      </c>
      <c r="J3">
        <v>0.9</v>
      </c>
      <c r="M3" t="s">
        <v>52</v>
      </c>
    </row>
    <row r="4" spans="1:13" x14ac:dyDescent="0.25">
      <c r="A4">
        <v>1990</v>
      </c>
      <c r="B4" t="s">
        <v>31</v>
      </c>
      <c r="C4">
        <v>514.5</v>
      </c>
      <c r="D4" t="s">
        <v>23</v>
      </c>
      <c r="E4">
        <f>11.1/2</f>
        <v>5.55</v>
      </c>
      <c r="F4">
        <f>2.7/2</f>
        <v>1.35</v>
      </c>
      <c r="G4" t="s">
        <v>24</v>
      </c>
      <c r="M4" t="s">
        <v>53</v>
      </c>
    </row>
    <row r="5" spans="1:13" x14ac:dyDescent="0.25">
      <c r="A5">
        <v>1990</v>
      </c>
      <c r="B5" t="s">
        <v>31</v>
      </c>
      <c r="C5">
        <v>633</v>
      </c>
      <c r="D5" t="s">
        <v>23</v>
      </c>
      <c r="E5">
        <f>1.8/2</f>
        <v>0.9</v>
      </c>
      <c r="F5">
        <f>0.9/2</f>
        <v>0.45</v>
      </c>
      <c r="G5" t="s">
        <v>24</v>
      </c>
      <c r="M5" t="s">
        <v>54</v>
      </c>
    </row>
    <row r="6" spans="1:13" x14ac:dyDescent="0.25">
      <c r="A6">
        <v>1990</v>
      </c>
      <c r="B6" t="s">
        <v>31</v>
      </c>
      <c r="C6">
        <v>1060</v>
      </c>
      <c r="D6" t="s">
        <v>23</v>
      </c>
      <c r="E6">
        <f>0.9/2</f>
        <v>0.45</v>
      </c>
      <c r="F6">
        <f>0.3/2</f>
        <v>0.15</v>
      </c>
      <c r="G6" t="s">
        <v>24</v>
      </c>
      <c r="M6" t="s">
        <v>55</v>
      </c>
    </row>
    <row r="7" spans="1:13" x14ac:dyDescent="0.25">
      <c r="A7">
        <v>1990</v>
      </c>
      <c r="B7" t="s">
        <v>31</v>
      </c>
      <c r="C7">
        <v>633</v>
      </c>
      <c r="D7" t="s">
        <v>23</v>
      </c>
      <c r="E7">
        <v>1</v>
      </c>
      <c r="G7" t="s">
        <v>24</v>
      </c>
      <c r="M7" t="s">
        <v>56</v>
      </c>
    </row>
    <row r="8" spans="1:13" x14ac:dyDescent="0.25">
      <c r="A8">
        <v>1990</v>
      </c>
      <c r="B8" t="s">
        <v>31</v>
      </c>
      <c r="C8">
        <v>488</v>
      </c>
      <c r="D8" t="s">
        <v>23</v>
      </c>
      <c r="E8">
        <v>3.9</v>
      </c>
      <c r="G8" t="s">
        <v>24</v>
      </c>
      <c r="M8" t="s">
        <v>57</v>
      </c>
    </row>
    <row r="9" spans="1:13" x14ac:dyDescent="0.25">
      <c r="A9">
        <v>1990</v>
      </c>
      <c r="B9" t="s">
        <v>31</v>
      </c>
      <c r="C9">
        <v>632.79999999999995</v>
      </c>
      <c r="D9" t="s">
        <v>23</v>
      </c>
      <c r="E9">
        <v>0.52</v>
      </c>
      <c r="G9" t="s">
        <v>24</v>
      </c>
      <c r="H9">
        <v>316</v>
      </c>
      <c r="I9" t="s">
        <v>24</v>
      </c>
      <c r="J9">
        <v>0.87</v>
      </c>
      <c r="K9">
        <v>41</v>
      </c>
      <c r="L9" t="s">
        <v>24</v>
      </c>
      <c r="M9" t="s">
        <v>58</v>
      </c>
    </row>
    <row r="10" spans="1:13" x14ac:dyDescent="0.25">
      <c r="A10">
        <v>1990</v>
      </c>
      <c r="B10" t="s">
        <v>31</v>
      </c>
      <c r="C10">
        <v>476</v>
      </c>
      <c r="D10" t="s">
        <v>23</v>
      </c>
      <c r="E10">
        <v>14.8</v>
      </c>
      <c r="G10" t="s">
        <v>24</v>
      </c>
      <c r="H10">
        <v>237</v>
      </c>
      <c r="I10" t="s">
        <v>24</v>
      </c>
      <c r="J10">
        <v>0.81</v>
      </c>
      <c r="K10">
        <v>45</v>
      </c>
      <c r="L10" t="s">
        <v>24</v>
      </c>
      <c r="M10" t="s">
        <v>59</v>
      </c>
    </row>
    <row r="11" spans="1:13" x14ac:dyDescent="0.25">
      <c r="A11">
        <v>1990</v>
      </c>
      <c r="B11" t="s">
        <v>31</v>
      </c>
      <c r="C11">
        <v>580</v>
      </c>
      <c r="D11" t="s">
        <v>23</v>
      </c>
      <c r="E11">
        <v>8.9</v>
      </c>
      <c r="G11" t="s">
        <v>24</v>
      </c>
      <c r="H11">
        <v>183</v>
      </c>
      <c r="I11" t="s">
        <v>24</v>
      </c>
      <c r="J11">
        <v>0.81</v>
      </c>
      <c r="K11">
        <v>34.799999999999997</v>
      </c>
      <c r="L11" t="s">
        <v>24</v>
      </c>
      <c r="M11" t="s">
        <v>60</v>
      </c>
    </row>
    <row r="12" spans="1:13" x14ac:dyDescent="0.25">
      <c r="A12">
        <v>1990</v>
      </c>
      <c r="B12" t="s">
        <v>31</v>
      </c>
      <c r="C12">
        <v>600</v>
      </c>
      <c r="D12" t="s">
        <v>23</v>
      </c>
      <c r="E12">
        <v>4</v>
      </c>
      <c r="G12" t="s">
        <v>24</v>
      </c>
      <c r="H12">
        <v>178</v>
      </c>
      <c r="I12" t="s">
        <v>24</v>
      </c>
      <c r="J12">
        <v>0.81</v>
      </c>
      <c r="K12">
        <v>33.799999999999997</v>
      </c>
      <c r="L12" t="s">
        <v>24</v>
      </c>
      <c r="M12" t="s">
        <v>61</v>
      </c>
    </row>
    <row r="13" spans="1:13" x14ac:dyDescent="0.25">
      <c r="A13">
        <v>1990</v>
      </c>
      <c r="B13" t="s">
        <v>31</v>
      </c>
      <c r="C13">
        <v>633</v>
      </c>
      <c r="D13" t="s">
        <v>23</v>
      </c>
      <c r="E13">
        <v>3.6</v>
      </c>
      <c r="G13" t="s">
        <v>24</v>
      </c>
      <c r="H13">
        <v>171</v>
      </c>
      <c r="I13" t="s">
        <v>24</v>
      </c>
      <c r="J13">
        <v>0.85</v>
      </c>
      <c r="K13">
        <v>25.7</v>
      </c>
      <c r="L13" t="s">
        <v>24</v>
      </c>
      <c r="M13" t="s">
        <v>62</v>
      </c>
    </row>
    <row r="14" spans="1:13" x14ac:dyDescent="0.25">
      <c r="A14">
        <v>1990</v>
      </c>
      <c r="B14" t="s">
        <v>31</v>
      </c>
      <c r="C14">
        <v>476</v>
      </c>
      <c r="D14" t="s">
        <v>23</v>
      </c>
      <c r="E14">
        <v>7.3</v>
      </c>
      <c r="G14" t="s">
        <v>24</v>
      </c>
      <c r="H14">
        <v>410</v>
      </c>
      <c r="I14" t="s">
        <v>24</v>
      </c>
      <c r="J14">
        <v>0.89</v>
      </c>
      <c r="K14">
        <v>45.1</v>
      </c>
      <c r="L14" t="s">
        <v>24</v>
      </c>
      <c r="M14" t="s">
        <v>63</v>
      </c>
    </row>
    <row r="15" spans="1:13" x14ac:dyDescent="0.25">
      <c r="A15">
        <v>1990</v>
      </c>
      <c r="B15" t="s">
        <v>31</v>
      </c>
      <c r="C15">
        <v>580</v>
      </c>
      <c r="D15" t="s">
        <v>23</v>
      </c>
      <c r="E15">
        <v>4.8</v>
      </c>
      <c r="G15" t="s">
        <v>24</v>
      </c>
      <c r="H15">
        <v>331</v>
      </c>
      <c r="I15" t="s">
        <v>24</v>
      </c>
      <c r="J15">
        <v>0.9</v>
      </c>
      <c r="K15">
        <v>33.1</v>
      </c>
      <c r="L15" t="s">
        <v>24</v>
      </c>
      <c r="M15" t="s">
        <v>64</v>
      </c>
    </row>
    <row r="16" spans="1:13" x14ac:dyDescent="0.25">
      <c r="A16">
        <v>1990</v>
      </c>
      <c r="B16" t="s">
        <v>31</v>
      </c>
      <c r="C16">
        <v>600</v>
      </c>
      <c r="D16" t="s">
        <v>23</v>
      </c>
      <c r="E16">
        <v>2.5</v>
      </c>
      <c r="G16" t="s">
        <v>24</v>
      </c>
      <c r="H16">
        <v>323</v>
      </c>
      <c r="I16" t="s">
        <v>24</v>
      </c>
      <c r="J16">
        <v>0.89</v>
      </c>
      <c r="K16">
        <v>35.5</v>
      </c>
      <c r="L16" t="s">
        <v>24</v>
      </c>
      <c r="M16" t="s">
        <v>65</v>
      </c>
    </row>
    <row r="17" spans="1:13" x14ac:dyDescent="0.25">
      <c r="A17">
        <v>1990</v>
      </c>
      <c r="B17" t="s">
        <v>31</v>
      </c>
      <c r="C17">
        <v>633</v>
      </c>
      <c r="D17" t="s">
        <v>23</v>
      </c>
      <c r="E17">
        <v>2.2999999999999998</v>
      </c>
      <c r="G17" t="s">
        <v>24</v>
      </c>
      <c r="H17">
        <v>310</v>
      </c>
      <c r="I17" t="s">
        <v>24</v>
      </c>
      <c r="J17">
        <v>0.9</v>
      </c>
      <c r="K17">
        <v>31</v>
      </c>
      <c r="L17" t="s">
        <v>24</v>
      </c>
      <c r="M17" t="s">
        <v>66</v>
      </c>
    </row>
    <row r="18" spans="1:13" x14ac:dyDescent="0.25">
      <c r="A18">
        <v>1990</v>
      </c>
      <c r="B18" t="s">
        <v>31</v>
      </c>
      <c r="C18">
        <v>476</v>
      </c>
      <c r="D18" t="s">
        <v>23</v>
      </c>
      <c r="E18">
        <v>18.100000000000001</v>
      </c>
      <c r="G18" t="s">
        <v>24</v>
      </c>
      <c r="H18">
        <v>267</v>
      </c>
      <c r="I18" t="s">
        <v>24</v>
      </c>
      <c r="J18">
        <v>0.74</v>
      </c>
      <c r="K18">
        <v>69.400000000000006</v>
      </c>
      <c r="L18" t="s">
        <v>24</v>
      </c>
      <c r="M18" t="s">
        <v>67</v>
      </c>
    </row>
    <row r="19" spans="1:13" x14ac:dyDescent="0.25">
      <c r="A19">
        <v>1990</v>
      </c>
      <c r="B19" t="s">
        <v>31</v>
      </c>
      <c r="C19">
        <v>580</v>
      </c>
      <c r="D19" t="s">
        <v>23</v>
      </c>
      <c r="E19">
        <v>11.3</v>
      </c>
      <c r="G19" t="s">
        <v>24</v>
      </c>
      <c r="H19">
        <v>217</v>
      </c>
      <c r="I19" t="s">
        <v>24</v>
      </c>
      <c r="J19">
        <v>0.77</v>
      </c>
      <c r="K19">
        <v>49.9</v>
      </c>
      <c r="L19" t="s">
        <v>24</v>
      </c>
      <c r="M19" t="s">
        <v>68</v>
      </c>
    </row>
    <row r="20" spans="1:13" x14ac:dyDescent="0.25">
      <c r="A20">
        <v>1990</v>
      </c>
      <c r="B20" t="s">
        <v>31</v>
      </c>
      <c r="C20">
        <v>600</v>
      </c>
      <c r="D20" t="s">
        <v>23</v>
      </c>
      <c r="E20">
        <v>6.1</v>
      </c>
      <c r="G20" t="s">
        <v>24</v>
      </c>
      <c r="H20">
        <v>211</v>
      </c>
      <c r="I20" t="s">
        <v>24</v>
      </c>
      <c r="J20">
        <v>0.78</v>
      </c>
      <c r="K20">
        <v>46.4</v>
      </c>
      <c r="L20" t="s">
        <v>24</v>
      </c>
      <c r="M20" t="s">
        <v>69</v>
      </c>
    </row>
    <row r="21" spans="1:13" x14ac:dyDescent="0.25">
      <c r="A21">
        <v>1990</v>
      </c>
      <c r="B21" t="s">
        <v>31</v>
      </c>
      <c r="C21">
        <v>633</v>
      </c>
      <c r="D21" t="s">
        <v>23</v>
      </c>
      <c r="E21">
        <v>5.8</v>
      </c>
      <c r="G21" t="s">
        <v>24</v>
      </c>
      <c r="H21">
        <v>195</v>
      </c>
      <c r="I21" t="s">
        <v>24</v>
      </c>
      <c r="J21">
        <v>0.81</v>
      </c>
      <c r="K21">
        <v>37.1</v>
      </c>
      <c r="L21" t="s">
        <v>24</v>
      </c>
      <c r="M21" t="s">
        <v>70</v>
      </c>
    </row>
    <row r="22" spans="1:13" x14ac:dyDescent="0.25">
      <c r="A22">
        <v>1990</v>
      </c>
      <c r="B22" t="s">
        <v>31</v>
      </c>
      <c r="C22">
        <v>1060</v>
      </c>
      <c r="D22" t="s">
        <v>23</v>
      </c>
      <c r="E22">
        <v>2</v>
      </c>
      <c r="G22" t="s">
        <v>24</v>
      </c>
      <c r="M2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7" sqref="L7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8" max="8" width="5.8554687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630</v>
      </c>
      <c r="D2" t="s">
        <v>23</v>
      </c>
      <c r="E2">
        <v>0.6</v>
      </c>
      <c r="F2" t="s">
        <v>24</v>
      </c>
      <c r="G2">
        <v>59</v>
      </c>
      <c r="H2" t="s">
        <v>24</v>
      </c>
      <c r="I2">
        <v>0.85</v>
      </c>
      <c r="J2">
        <v>8.85</v>
      </c>
      <c r="K2" t="s">
        <v>24</v>
      </c>
      <c r="L2" t="s">
        <v>72</v>
      </c>
    </row>
    <row r="3" spans="1:12" x14ac:dyDescent="0.25">
      <c r="A3">
        <v>1990</v>
      </c>
      <c r="B3" t="s">
        <v>31</v>
      </c>
      <c r="C3">
        <v>633</v>
      </c>
      <c r="D3" t="s">
        <v>23</v>
      </c>
      <c r="E3">
        <v>1.25</v>
      </c>
      <c r="F3" t="s">
        <v>24</v>
      </c>
      <c r="G3">
        <v>50.8</v>
      </c>
      <c r="H3" t="s">
        <v>24</v>
      </c>
      <c r="I3">
        <v>0.95</v>
      </c>
      <c r="J3">
        <v>2.54</v>
      </c>
      <c r="K3" t="s">
        <v>24</v>
      </c>
      <c r="L3" t="s">
        <v>73</v>
      </c>
    </row>
    <row r="4" spans="1:12" x14ac:dyDescent="0.25">
      <c r="A4">
        <v>1990</v>
      </c>
      <c r="B4" t="s">
        <v>31</v>
      </c>
      <c r="C4">
        <v>632.79999999999995</v>
      </c>
      <c r="D4" t="s">
        <v>23</v>
      </c>
      <c r="E4">
        <v>1.1000000000000001</v>
      </c>
      <c r="F4" t="s">
        <v>24</v>
      </c>
      <c r="G4">
        <v>44</v>
      </c>
      <c r="H4" t="s">
        <v>24</v>
      </c>
      <c r="I4">
        <v>0.92</v>
      </c>
      <c r="J4">
        <v>3.52</v>
      </c>
      <c r="K4" t="s">
        <v>24</v>
      </c>
      <c r="L4" t="s">
        <v>74</v>
      </c>
    </row>
    <row r="5" spans="1:12" x14ac:dyDescent="0.25">
      <c r="A5">
        <v>1990</v>
      </c>
      <c r="B5" t="s">
        <v>31</v>
      </c>
      <c r="C5">
        <v>632.79999999999995</v>
      </c>
      <c r="D5" t="s">
        <v>23</v>
      </c>
      <c r="E5">
        <v>1.4</v>
      </c>
      <c r="F5" t="s">
        <v>24</v>
      </c>
      <c r="G5">
        <v>88</v>
      </c>
      <c r="H5" t="s">
        <v>24</v>
      </c>
      <c r="I5">
        <v>0.96</v>
      </c>
      <c r="J5">
        <v>3.52</v>
      </c>
      <c r="K5" t="s">
        <v>24</v>
      </c>
      <c r="L5" t="s">
        <v>75</v>
      </c>
    </row>
    <row r="6" spans="1:12" x14ac:dyDescent="0.25">
      <c r="A6">
        <v>1990</v>
      </c>
      <c r="B6" t="s">
        <v>31</v>
      </c>
      <c r="C6">
        <v>633</v>
      </c>
      <c r="D6" t="s">
        <v>23</v>
      </c>
      <c r="E6">
        <v>1.4</v>
      </c>
      <c r="F6" t="s">
        <v>24</v>
      </c>
      <c r="G6">
        <v>29.3</v>
      </c>
      <c r="H6" t="s">
        <v>24</v>
      </c>
      <c r="I6">
        <v>0.91</v>
      </c>
      <c r="J6">
        <v>2.64</v>
      </c>
      <c r="K6" t="s">
        <v>24</v>
      </c>
      <c r="L6" t="s">
        <v>76</v>
      </c>
    </row>
    <row r="7" spans="1:12" x14ac:dyDescent="0.25">
      <c r="A7">
        <v>2011</v>
      </c>
      <c r="B7" t="s">
        <v>141</v>
      </c>
      <c r="C7">
        <v>532</v>
      </c>
      <c r="D7" t="s">
        <v>23</v>
      </c>
      <c r="E7">
        <f>0.98/2</f>
        <v>0.49</v>
      </c>
      <c r="F7" t="s">
        <v>24</v>
      </c>
      <c r="J7">
        <f>3.58/2</f>
        <v>1.79</v>
      </c>
      <c r="K7" t="s">
        <v>24</v>
      </c>
      <c r="L7" t="s">
        <v>142</v>
      </c>
    </row>
    <row r="8" spans="1:12" x14ac:dyDescent="0.25">
      <c r="A8">
        <v>2011</v>
      </c>
      <c r="B8" t="s">
        <v>141</v>
      </c>
      <c r="C8">
        <v>630</v>
      </c>
      <c r="D8" t="s">
        <v>23</v>
      </c>
      <c r="E8">
        <f>1.04/2</f>
        <v>0.52</v>
      </c>
      <c r="F8" t="s">
        <v>24</v>
      </c>
      <c r="J8">
        <f>8.87/2</f>
        <v>4.4349999999999996</v>
      </c>
      <c r="K8" t="s">
        <v>24</v>
      </c>
      <c r="L8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K15" sqref="K15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685</v>
      </c>
      <c r="D2" t="s">
        <v>23</v>
      </c>
      <c r="E2">
        <v>2.65</v>
      </c>
      <c r="F2" t="s">
        <v>24</v>
      </c>
      <c r="G2">
        <v>1413</v>
      </c>
      <c r="H2" t="s">
        <v>24</v>
      </c>
      <c r="I2">
        <v>0.99</v>
      </c>
      <c r="L2" t="s">
        <v>77</v>
      </c>
    </row>
    <row r="3" spans="1:12" x14ac:dyDescent="0.25">
      <c r="A3">
        <v>1990</v>
      </c>
      <c r="B3" t="s">
        <v>31</v>
      </c>
      <c r="C3">
        <v>665</v>
      </c>
      <c r="D3" t="s">
        <v>23</v>
      </c>
      <c r="E3">
        <v>1.3</v>
      </c>
      <c r="F3" t="s">
        <v>24</v>
      </c>
      <c r="G3">
        <v>1246</v>
      </c>
      <c r="H3" t="s">
        <v>24</v>
      </c>
      <c r="I3">
        <v>0.995</v>
      </c>
      <c r="J3">
        <v>6.11</v>
      </c>
      <c r="K3" t="s">
        <v>24</v>
      </c>
      <c r="L3" t="s">
        <v>78</v>
      </c>
    </row>
    <row r="4" spans="1:12" x14ac:dyDescent="0.25">
      <c r="A4">
        <v>1990</v>
      </c>
      <c r="B4" t="s">
        <v>31</v>
      </c>
      <c r="C4">
        <v>960</v>
      </c>
      <c r="D4" t="s">
        <v>23</v>
      </c>
      <c r="E4">
        <v>2.84</v>
      </c>
      <c r="F4" t="s">
        <v>24</v>
      </c>
      <c r="G4">
        <v>505</v>
      </c>
      <c r="H4" t="s">
        <v>24</v>
      </c>
      <c r="I4">
        <v>0.99199999999999999</v>
      </c>
      <c r="J4">
        <v>3.84</v>
      </c>
      <c r="K4" t="s">
        <v>24</v>
      </c>
      <c r="L4" t="s">
        <v>78</v>
      </c>
    </row>
    <row r="5" spans="1:12" x14ac:dyDescent="0.25">
      <c r="A5">
        <v>1990</v>
      </c>
      <c r="B5" t="s">
        <v>31</v>
      </c>
      <c r="C5">
        <v>665</v>
      </c>
      <c r="D5" t="s">
        <v>23</v>
      </c>
      <c r="E5">
        <v>4.87</v>
      </c>
      <c r="F5" t="s">
        <v>24</v>
      </c>
      <c r="G5">
        <v>509</v>
      </c>
      <c r="H5" t="s">
        <v>24</v>
      </c>
      <c r="I5">
        <v>0.995</v>
      </c>
      <c r="J5">
        <v>2.4900000000000002</v>
      </c>
      <c r="K5" t="s">
        <v>24</v>
      </c>
      <c r="L5" t="s">
        <v>78</v>
      </c>
    </row>
    <row r="6" spans="1:12" x14ac:dyDescent="0.25">
      <c r="A6">
        <v>1990</v>
      </c>
      <c r="B6" t="s">
        <v>31</v>
      </c>
      <c r="C6">
        <v>960</v>
      </c>
      <c r="D6" t="s">
        <v>23</v>
      </c>
      <c r="E6">
        <v>1.68</v>
      </c>
      <c r="F6" t="s">
        <v>24</v>
      </c>
      <c r="G6">
        <v>668</v>
      </c>
      <c r="H6" t="s">
        <v>24</v>
      </c>
      <c r="I6">
        <v>0.99199999999999999</v>
      </c>
      <c r="J6">
        <v>5.08</v>
      </c>
      <c r="K6" t="s">
        <v>24</v>
      </c>
      <c r="L6" t="s">
        <v>78</v>
      </c>
    </row>
    <row r="7" spans="1:12" x14ac:dyDescent="0.25">
      <c r="A7">
        <v>1990</v>
      </c>
      <c r="B7" t="s">
        <v>31</v>
      </c>
      <c r="C7">
        <v>633</v>
      </c>
      <c r="D7" t="s">
        <v>23</v>
      </c>
      <c r="I7">
        <v>0.97399999999999998</v>
      </c>
      <c r="L7" t="s">
        <v>79</v>
      </c>
    </row>
    <row r="8" spans="1:12" x14ac:dyDescent="0.25">
      <c r="A8">
        <v>1990</v>
      </c>
      <c r="B8" t="s">
        <v>31</v>
      </c>
      <c r="C8">
        <v>632.79999999999995</v>
      </c>
      <c r="D8" t="s">
        <v>23</v>
      </c>
      <c r="I8">
        <v>0.98450000000000004</v>
      </c>
      <c r="L8" t="s">
        <v>80</v>
      </c>
    </row>
    <row r="9" spans="1:12" x14ac:dyDescent="0.25">
      <c r="A9">
        <v>1990</v>
      </c>
      <c r="B9" t="s">
        <v>31</v>
      </c>
      <c r="C9">
        <v>660</v>
      </c>
      <c r="D9" t="s">
        <v>23</v>
      </c>
      <c r="I9">
        <v>0.98399999999999999</v>
      </c>
      <c r="L9" t="s">
        <v>80</v>
      </c>
    </row>
    <row r="10" spans="1:12" x14ac:dyDescent="0.25">
      <c r="A10">
        <v>1990</v>
      </c>
      <c r="B10" t="s">
        <v>31</v>
      </c>
      <c r="C10">
        <v>800</v>
      </c>
      <c r="D10" t="s">
        <v>23</v>
      </c>
      <c r="I10">
        <v>0.98</v>
      </c>
      <c r="L10" t="s">
        <v>80</v>
      </c>
    </row>
    <row r="11" spans="1:12" x14ac:dyDescent="0.25">
      <c r="A11">
        <v>2005</v>
      </c>
      <c r="B11" t="s">
        <v>126</v>
      </c>
      <c r="C11">
        <v>590</v>
      </c>
      <c r="D11" t="s">
        <v>23</v>
      </c>
      <c r="J11">
        <f>133*POWER(590,-0.66)</f>
        <v>1.9728284093925184</v>
      </c>
      <c r="K11" t="s">
        <v>42</v>
      </c>
      <c r="L11" t="s">
        <v>137</v>
      </c>
    </row>
    <row r="12" spans="1:12" x14ac:dyDescent="0.25">
      <c r="A12">
        <v>2005</v>
      </c>
      <c r="B12" t="s">
        <v>126</v>
      </c>
      <c r="C12">
        <v>610</v>
      </c>
      <c r="D12" t="s">
        <v>23</v>
      </c>
      <c r="J12">
        <f>133*POWER(610,-0.66)</f>
        <v>1.9298961949904678</v>
      </c>
      <c r="K12" t="s">
        <v>42</v>
      </c>
      <c r="L12" t="s">
        <v>137</v>
      </c>
    </row>
    <row r="13" spans="1:12" x14ac:dyDescent="0.25">
      <c r="A13">
        <v>2005</v>
      </c>
      <c r="B13" t="s">
        <v>126</v>
      </c>
      <c r="C13">
        <v>630</v>
      </c>
      <c r="D13" t="s">
        <v>23</v>
      </c>
      <c r="J13">
        <f>133*POWER(630,-0.66)</f>
        <v>1.8892388959819653</v>
      </c>
      <c r="K13" t="s">
        <v>42</v>
      </c>
      <c r="L13" t="s">
        <v>137</v>
      </c>
    </row>
    <row r="14" spans="1:12" x14ac:dyDescent="0.25">
      <c r="A14">
        <v>2005</v>
      </c>
      <c r="B14" t="s">
        <v>126</v>
      </c>
      <c r="C14">
        <v>650</v>
      </c>
      <c r="D14" t="s">
        <v>23</v>
      </c>
      <c r="J14">
        <f>133*POWER(650,-0.66)</f>
        <v>1.8506693208543024</v>
      </c>
      <c r="K14" t="s">
        <v>42</v>
      </c>
      <c r="L14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9"/>
  <sheetViews>
    <sheetView workbookViewId="0">
      <selection sqref="A1:L19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6" customWidth="1"/>
    <col min="7" max="7" width="9.7109375" customWidth="1"/>
    <col min="8" max="8" width="6.570312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1993</v>
      </c>
      <c r="B2" t="s">
        <v>40</v>
      </c>
      <c r="L2" t="s">
        <v>41</v>
      </c>
    </row>
    <row r="3" spans="1:12" x14ac:dyDescent="0.25">
      <c r="A3">
        <v>1993</v>
      </c>
      <c r="B3" t="s">
        <v>40</v>
      </c>
      <c r="C3">
        <v>650</v>
      </c>
      <c r="D3" t="s">
        <v>23</v>
      </c>
      <c r="E3">
        <v>0.04</v>
      </c>
      <c r="F3" t="s">
        <v>42</v>
      </c>
      <c r="G3">
        <v>35</v>
      </c>
      <c r="H3" t="s">
        <v>42</v>
      </c>
      <c r="I3">
        <v>0.92500000000000004</v>
      </c>
      <c r="J3">
        <v>2.6</v>
      </c>
      <c r="K3" t="s">
        <v>42</v>
      </c>
      <c r="L3" t="s">
        <v>81</v>
      </c>
    </row>
    <row r="4" spans="1:12" x14ac:dyDescent="0.25">
      <c r="A4">
        <v>1993</v>
      </c>
      <c r="B4" t="s">
        <v>40</v>
      </c>
      <c r="C4">
        <v>700</v>
      </c>
      <c r="D4" t="s">
        <v>23</v>
      </c>
      <c r="E4">
        <v>2.5000000000000001E-2</v>
      </c>
      <c r="F4" t="s">
        <v>42</v>
      </c>
      <c r="G4">
        <v>32.5</v>
      </c>
      <c r="H4" t="s">
        <v>42</v>
      </c>
      <c r="I4">
        <v>0.93</v>
      </c>
      <c r="J4">
        <v>2.25</v>
      </c>
      <c r="K4" t="s">
        <v>42</v>
      </c>
      <c r="L4" t="s">
        <v>81</v>
      </c>
    </row>
    <row r="5" spans="1:12" x14ac:dyDescent="0.25">
      <c r="A5">
        <v>1993</v>
      </c>
      <c r="B5" t="s">
        <v>40</v>
      </c>
      <c r="C5">
        <v>750</v>
      </c>
      <c r="D5" t="s">
        <v>23</v>
      </c>
      <c r="E5">
        <v>2.5000000000000001E-2</v>
      </c>
      <c r="F5" t="s">
        <v>42</v>
      </c>
      <c r="G5">
        <v>30</v>
      </c>
      <c r="H5" t="s">
        <v>42</v>
      </c>
      <c r="I5">
        <v>0.93500000000000005</v>
      </c>
      <c r="J5">
        <v>2</v>
      </c>
      <c r="K5" t="s">
        <v>42</v>
      </c>
      <c r="L5" t="s">
        <v>81</v>
      </c>
    </row>
    <row r="6" spans="1:12" x14ac:dyDescent="0.25">
      <c r="A6">
        <v>1993</v>
      </c>
      <c r="B6" t="s">
        <v>40</v>
      </c>
      <c r="C6">
        <v>800</v>
      </c>
      <c r="D6" t="s">
        <v>23</v>
      </c>
      <c r="E6">
        <v>2.5000000000000001E-2</v>
      </c>
      <c r="F6" t="s">
        <v>42</v>
      </c>
      <c r="G6">
        <v>29</v>
      </c>
      <c r="H6" t="s">
        <v>42</v>
      </c>
      <c r="I6">
        <v>0.93500000000000005</v>
      </c>
      <c r="J6">
        <v>1.8</v>
      </c>
      <c r="K6" t="s">
        <v>42</v>
      </c>
      <c r="L6" t="s">
        <v>81</v>
      </c>
    </row>
    <row r="7" spans="1:12" x14ac:dyDescent="0.25">
      <c r="A7">
        <v>1993</v>
      </c>
      <c r="B7" t="s">
        <v>40</v>
      </c>
      <c r="C7">
        <v>850</v>
      </c>
      <c r="D7" t="s">
        <v>23</v>
      </c>
      <c r="E7">
        <v>2.5000000000000001E-2</v>
      </c>
      <c r="F7" t="s">
        <v>42</v>
      </c>
      <c r="G7">
        <v>27</v>
      </c>
      <c r="H7" t="s">
        <v>42</v>
      </c>
      <c r="I7">
        <v>0.93500000000000005</v>
      </c>
      <c r="J7">
        <v>1.75</v>
      </c>
      <c r="K7" t="s">
        <v>42</v>
      </c>
      <c r="L7" t="s">
        <v>81</v>
      </c>
    </row>
    <row r="8" spans="1:12" x14ac:dyDescent="0.25">
      <c r="A8">
        <v>1993</v>
      </c>
      <c r="B8" t="s">
        <v>40</v>
      </c>
      <c r="C8">
        <v>900</v>
      </c>
      <c r="D8" t="s">
        <v>23</v>
      </c>
      <c r="E8">
        <v>3.5000000000000003E-2</v>
      </c>
      <c r="F8" t="s">
        <v>42</v>
      </c>
      <c r="G8">
        <v>25</v>
      </c>
      <c r="H8" t="s">
        <v>42</v>
      </c>
      <c r="I8">
        <v>0.94499999999999995</v>
      </c>
      <c r="J8">
        <v>1.6</v>
      </c>
      <c r="K8" t="s">
        <v>42</v>
      </c>
      <c r="L8" t="s">
        <v>81</v>
      </c>
    </row>
    <row r="9" spans="1:12" x14ac:dyDescent="0.25">
      <c r="A9">
        <v>1993</v>
      </c>
      <c r="B9" t="s">
        <v>40</v>
      </c>
      <c r="C9">
        <v>950</v>
      </c>
      <c r="D9" t="s">
        <v>23</v>
      </c>
      <c r="E9">
        <v>0.05</v>
      </c>
      <c r="F9" t="s">
        <v>42</v>
      </c>
      <c r="G9">
        <v>24</v>
      </c>
      <c r="H9" t="s">
        <v>42</v>
      </c>
      <c r="I9">
        <v>0.94499999999999995</v>
      </c>
      <c r="J9">
        <v>1.5</v>
      </c>
      <c r="K9" t="s">
        <v>42</v>
      </c>
      <c r="L9" t="s">
        <v>81</v>
      </c>
    </row>
    <row r="10" spans="1:12" x14ac:dyDescent="0.25">
      <c r="A10">
        <v>2005</v>
      </c>
      <c r="B10" t="s">
        <v>126</v>
      </c>
      <c r="C10">
        <v>590</v>
      </c>
      <c r="D10" t="s">
        <v>23</v>
      </c>
      <c r="E10">
        <f>0.049*(0.8*151.7+0.2*77.13)+0.15*0.001351</f>
        <v>6.7027166500000011</v>
      </c>
      <c r="F10" t="s">
        <v>24</v>
      </c>
      <c r="J10">
        <f>35600*POWER(590,-1.47)</f>
        <v>3.0081365106792073</v>
      </c>
      <c r="K10" t="s">
        <v>42</v>
      </c>
      <c r="L10" t="s">
        <v>127</v>
      </c>
    </row>
    <row r="11" spans="1:12" x14ac:dyDescent="0.25">
      <c r="A11">
        <v>2005</v>
      </c>
      <c r="B11" t="s">
        <v>126</v>
      </c>
      <c r="C11">
        <v>610</v>
      </c>
      <c r="D11" t="s">
        <v>23</v>
      </c>
      <c r="E11">
        <f>0.049*(0.8*50.58+0.2*8.07)+0.15*0.002644</f>
        <v>2.0622186</v>
      </c>
      <c r="F11" t="s">
        <v>24</v>
      </c>
      <c r="J11">
        <f>35600*POWER(610,-1.47)</f>
        <v>2.8642778234954669</v>
      </c>
      <c r="K11" t="s">
        <v>42</v>
      </c>
      <c r="L11" t="s">
        <v>127</v>
      </c>
    </row>
    <row r="12" spans="1:12" x14ac:dyDescent="0.25">
      <c r="A12">
        <v>2005</v>
      </c>
      <c r="B12" t="s">
        <v>126</v>
      </c>
      <c r="C12">
        <v>630</v>
      </c>
      <c r="D12" t="s">
        <v>23</v>
      </c>
      <c r="E12">
        <f>0.049*(0.8*27.58+0.2*3.27)+0.15*0.002916</f>
        <v>1.1136194000000001</v>
      </c>
      <c r="F12" t="s">
        <v>24</v>
      </c>
      <c r="J12">
        <f>35600*POWER(630,-1.47)</f>
        <v>2.7316143798318042</v>
      </c>
      <c r="K12" t="s">
        <v>42</v>
      </c>
      <c r="L12" t="s">
        <v>127</v>
      </c>
    </row>
    <row r="13" spans="1:12" x14ac:dyDescent="0.25">
      <c r="A13">
        <v>2005</v>
      </c>
      <c r="B13" t="s">
        <v>126</v>
      </c>
      <c r="C13">
        <v>650</v>
      </c>
      <c r="D13" t="s">
        <v>23</v>
      </c>
      <c r="E13">
        <f>0.049*(0.8*20.08+0.2*1.97)+0.15*0.0034</f>
        <v>0.806952</v>
      </c>
      <c r="F13" t="s">
        <v>24</v>
      </c>
      <c r="J13">
        <f>35600*POWER(650,-1.47)</f>
        <v>2.6089596579650509</v>
      </c>
      <c r="K13" t="s">
        <v>42</v>
      </c>
      <c r="L13" t="s">
        <v>127</v>
      </c>
    </row>
    <row r="14" spans="1:12" x14ac:dyDescent="0.25">
      <c r="A14">
        <v>2011</v>
      </c>
      <c r="B14" t="s">
        <v>141</v>
      </c>
      <c r="C14">
        <v>650</v>
      </c>
      <c r="D14" t="s">
        <v>23</v>
      </c>
      <c r="E14">
        <f>0.23/2</f>
        <v>0.115</v>
      </c>
      <c r="F14" t="s">
        <v>24</v>
      </c>
      <c r="J14">
        <f>28.3/2</f>
        <v>14.15</v>
      </c>
      <c r="K14" t="s">
        <v>24</v>
      </c>
      <c r="L14" t="s">
        <v>144</v>
      </c>
    </row>
    <row r="15" spans="1:12" x14ac:dyDescent="0.25">
      <c r="A15">
        <v>2011</v>
      </c>
      <c r="B15" t="s">
        <v>141</v>
      </c>
      <c r="C15">
        <v>760</v>
      </c>
      <c r="D15" t="s">
        <v>23</v>
      </c>
      <c r="E15">
        <f>0.08</f>
        <v>0.08</v>
      </c>
      <c r="F15" t="s">
        <v>24</v>
      </c>
      <c r="J15">
        <f>26/2</f>
        <v>13</v>
      </c>
      <c r="K15" t="s">
        <v>24</v>
      </c>
      <c r="L15" t="s">
        <v>145</v>
      </c>
    </row>
    <row r="16" spans="1:12" x14ac:dyDescent="0.25">
      <c r="A16">
        <v>2013</v>
      </c>
      <c r="B16" t="s">
        <v>27</v>
      </c>
      <c r="C16">
        <v>590</v>
      </c>
      <c r="D16" t="s">
        <v>23</v>
      </c>
      <c r="J16">
        <f>9.5*POWER(C16/500,-0.141)</f>
        <v>9.2808604442105356</v>
      </c>
      <c r="K16" t="s">
        <v>24</v>
      </c>
      <c r="L16" t="s">
        <v>187</v>
      </c>
    </row>
    <row r="17" spans="1:12" x14ac:dyDescent="0.25">
      <c r="A17">
        <v>2013</v>
      </c>
      <c r="B17" t="s">
        <v>27</v>
      </c>
      <c r="C17">
        <v>610</v>
      </c>
      <c r="D17" t="s">
        <v>23</v>
      </c>
      <c r="J17">
        <f t="shared" ref="J17:J19" si="0">9.5*POWER(C17/500,-0.141)</f>
        <v>9.2373387261964464</v>
      </c>
      <c r="K17" t="s">
        <v>24</v>
      </c>
      <c r="L17" t="s">
        <v>187</v>
      </c>
    </row>
    <row r="18" spans="1:12" x14ac:dyDescent="0.25">
      <c r="A18">
        <v>2013</v>
      </c>
      <c r="B18" t="s">
        <v>27</v>
      </c>
      <c r="C18">
        <v>630</v>
      </c>
      <c r="D18" t="s">
        <v>23</v>
      </c>
      <c r="J18">
        <f t="shared" si="0"/>
        <v>9.1954155120767478</v>
      </c>
      <c r="K18" t="s">
        <v>24</v>
      </c>
      <c r="L18" t="s">
        <v>187</v>
      </c>
    </row>
    <row r="19" spans="1:12" x14ac:dyDescent="0.25">
      <c r="A19">
        <v>2013</v>
      </c>
      <c r="B19" t="s">
        <v>27</v>
      </c>
      <c r="C19">
        <v>650</v>
      </c>
      <c r="D19" t="s">
        <v>23</v>
      </c>
      <c r="J19">
        <f t="shared" si="0"/>
        <v>9.1549840628992829</v>
      </c>
      <c r="K19" t="s">
        <v>24</v>
      </c>
      <c r="L19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7"/>
  <sheetViews>
    <sheetView workbookViewId="0">
      <selection activeCell="A2" sqref="A2:P7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6" customWidth="1"/>
    <col min="7" max="7" width="9.7109375" customWidth="1"/>
    <col min="8" max="8" width="6.570312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2005</v>
      </c>
      <c r="B2" t="s">
        <v>126</v>
      </c>
      <c r="C2">
        <v>590</v>
      </c>
      <c r="D2" t="s">
        <v>23</v>
      </c>
      <c r="E2">
        <f>0.0093*(0.8*151.7+0.2*77.13)+0.5*0.001351</f>
        <v>1.2727853</v>
      </c>
      <c r="F2" t="s">
        <v>24</v>
      </c>
      <c r="J2">
        <f>3670*POWER(590,-1.24)</f>
        <v>1.3452703482782877</v>
      </c>
      <c r="K2" t="s">
        <v>42</v>
      </c>
      <c r="L2" t="s">
        <v>129</v>
      </c>
    </row>
    <row r="3" spans="1:12" x14ac:dyDescent="0.25">
      <c r="A3">
        <v>2005</v>
      </c>
      <c r="B3" t="s">
        <v>126</v>
      </c>
      <c r="C3">
        <v>610</v>
      </c>
      <c r="D3" t="s">
        <v>23</v>
      </c>
      <c r="E3">
        <f>0.0093*(0.8*50.58+0.2*8.07)+0.5*0.002644</f>
        <v>0.39264739999999992</v>
      </c>
      <c r="F3" t="s">
        <v>24</v>
      </c>
      <c r="J3">
        <f>3670*POWER(610,-1.24)</f>
        <v>1.290794388859964</v>
      </c>
      <c r="K3" t="s">
        <v>42</v>
      </c>
      <c r="L3" t="s">
        <v>129</v>
      </c>
    </row>
    <row r="4" spans="1:12" x14ac:dyDescent="0.25">
      <c r="A4">
        <v>2005</v>
      </c>
      <c r="B4" t="s">
        <v>126</v>
      </c>
      <c r="C4">
        <v>630</v>
      </c>
      <c r="D4" t="s">
        <v>23</v>
      </c>
      <c r="E4">
        <f>0.0093*(0.8*27.58+0.2*3.27)+0.5*0.002916</f>
        <v>0.21273539999999996</v>
      </c>
      <c r="F4" t="s">
        <v>24</v>
      </c>
      <c r="J4">
        <f>3670*POWER(630,-1.24)</f>
        <v>1.2401773145643999</v>
      </c>
      <c r="K4" t="s">
        <v>42</v>
      </c>
      <c r="L4" t="s">
        <v>129</v>
      </c>
    </row>
    <row r="5" spans="1:12" x14ac:dyDescent="0.25">
      <c r="A5">
        <v>2005</v>
      </c>
      <c r="B5" t="s">
        <v>126</v>
      </c>
      <c r="C5">
        <v>650</v>
      </c>
      <c r="D5" t="s">
        <v>23</v>
      </c>
      <c r="E5">
        <f>0.0093*(0.8*20.08+0.2*1.97)+0.5*0.0034</f>
        <v>0.15475939999999999</v>
      </c>
      <c r="F5" t="s">
        <v>24</v>
      </c>
      <c r="J5">
        <f>3670*POWER(650,-1.24)</f>
        <v>1.1930358716031997</v>
      </c>
      <c r="K5" t="s">
        <v>42</v>
      </c>
      <c r="L5" t="s">
        <v>129</v>
      </c>
    </row>
    <row r="6" spans="1:12" x14ac:dyDescent="0.25">
      <c r="A6">
        <v>2011</v>
      </c>
      <c r="B6" t="s">
        <v>141</v>
      </c>
      <c r="C6">
        <v>630</v>
      </c>
      <c r="D6" t="s">
        <v>23</v>
      </c>
      <c r="E6">
        <v>0.2</v>
      </c>
      <c r="F6" t="s">
        <v>24</v>
      </c>
      <c r="J6">
        <f>(8.95+10.05)/2</f>
        <v>9.5</v>
      </c>
      <c r="K6" t="s">
        <v>24</v>
      </c>
      <c r="L6" t="s">
        <v>151</v>
      </c>
    </row>
    <row r="7" spans="1:12" x14ac:dyDescent="0.25">
      <c r="A7">
        <v>2011</v>
      </c>
      <c r="B7" t="s">
        <v>141</v>
      </c>
      <c r="C7">
        <v>630</v>
      </c>
      <c r="D7" t="s">
        <v>23</v>
      </c>
      <c r="E7">
        <v>0.15</v>
      </c>
      <c r="F7" t="s">
        <v>24</v>
      </c>
      <c r="J7">
        <f>(10.11+10.42)/2</f>
        <v>10.265000000000001</v>
      </c>
      <c r="K7" t="s">
        <v>24</v>
      </c>
      <c r="L7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38"/>
  <sheetViews>
    <sheetView topLeftCell="A3" workbookViewId="0">
      <selection sqref="A1:L38"/>
    </sheetView>
  </sheetViews>
  <sheetFormatPr defaultRowHeight="15" x14ac:dyDescent="0.25"/>
  <cols>
    <col min="3" max="3" width="12.28515625" customWidth="1"/>
    <col min="4" max="4" width="4" customWidth="1"/>
    <col min="5" max="5" width="11.140625" customWidth="1"/>
    <col min="6" max="6" width="4.85546875" customWidth="1"/>
    <col min="7" max="7" width="9.7109375" customWidth="1"/>
    <col min="8" max="8" width="5.5703125" customWidth="1"/>
    <col min="9" max="9" width="12.85546875" customWidth="1"/>
    <col min="10" max="10" width="17.28515625" customWidth="1"/>
    <col min="11" max="11" width="5.7109375" customWidth="1"/>
  </cols>
  <sheetData>
    <row r="1" spans="1:12" x14ac:dyDescent="0.25">
      <c r="A1" s="1" t="s">
        <v>25</v>
      </c>
      <c r="B1" s="1" t="s">
        <v>26</v>
      </c>
      <c r="C1" s="1" t="s">
        <v>22</v>
      </c>
      <c r="D1" s="1"/>
      <c r="E1" s="1" t="s">
        <v>19</v>
      </c>
      <c r="F1" s="1"/>
      <c r="G1" s="1" t="s">
        <v>20</v>
      </c>
      <c r="H1" s="1"/>
      <c r="I1" s="1" t="s">
        <v>21</v>
      </c>
      <c r="J1" s="1" t="s">
        <v>28</v>
      </c>
      <c r="L1" t="s">
        <v>29</v>
      </c>
    </row>
    <row r="2" spans="1:12" x14ac:dyDescent="0.25">
      <c r="A2">
        <v>1990</v>
      </c>
      <c r="B2" t="s">
        <v>31</v>
      </c>
      <c r="C2">
        <v>633</v>
      </c>
      <c r="D2" t="s">
        <v>23</v>
      </c>
      <c r="E2">
        <v>2.02</v>
      </c>
      <c r="F2" t="s">
        <v>24</v>
      </c>
      <c r="G2">
        <v>90.2</v>
      </c>
      <c r="H2" t="s">
        <v>24</v>
      </c>
      <c r="I2">
        <v>0.93</v>
      </c>
      <c r="J2">
        <v>6.31</v>
      </c>
      <c r="K2" t="s">
        <v>24</v>
      </c>
      <c r="L2" t="s">
        <v>82</v>
      </c>
    </row>
    <row r="3" spans="1:12" x14ac:dyDescent="0.25">
      <c r="A3">
        <v>1990</v>
      </c>
      <c r="B3" t="s">
        <v>31</v>
      </c>
      <c r="C3">
        <v>633</v>
      </c>
      <c r="D3" t="s">
        <v>23</v>
      </c>
      <c r="E3">
        <v>1.65</v>
      </c>
      <c r="F3" t="s">
        <v>24</v>
      </c>
      <c r="G3">
        <v>56.3</v>
      </c>
      <c r="H3" t="s">
        <v>24</v>
      </c>
      <c r="I3">
        <v>0.97</v>
      </c>
      <c r="J3">
        <v>1.97</v>
      </c>
      <c r="K3" t="s">
        <v>24</v>
      </c>
      <c r="L3" t="s">
        <v>83</v>
      </c>
    </row>
    <row r="4" spans="1:12" x14ac:dyDescent="0.25">
      <c r="A4">
        <v>1990</v>
      </c>
      <c r="B4" t="s">
        <v>31</v>
      </c>
      <c r="C4">
        <v>633</v>
      </c>
      <c r="D4" t="s">
        <v>23</v>
      </c>
      <c r="E4">
        <v>0.19</v>
      </c>
      <c r="F4" t="s">
        <v>24</v>
      </c>
      <c r="J4">
        <v>6.6</v>
      </c>
      <c r="K4" t="s">
        <v>24</v>
      </c>
      <c r="L4" t="s">
        <v>84</v>
      </c>
    </row>
    <row r="5" spans="1:12" x14ac:dyDescent="0.25">
      <c r="A5">
        <v>1990</v>
      </c>
      <c r="B5" t="s">
        <v>31</v>
      </c>
      <c r="C5">
        <v>1064</v>
      </c>
      <c r="D5" t="s">
        <v>23</v>
      </c>
      <c r="E5">
        <v>0.36</v>
      </c>
      <c r="F5" t="s">
        <v>24</v>
      </c>
      <c r="J5">
        <v>6.7</v>
      </c>
      <c r="K5" t="s">
        <v>24</v>
      </c>
      <c r="L5" t="s">
        <v>84</v>
      </c>
    </row>
    <row r="6" spans="1:12" x14ac:dyDescent="0.25">
      <c r="A6">
        <v>1990</v>
      </c>
      <c r="B6" t="s">
        <v>39</v>
      </c>
      <c r="C6">
        <v>1320</v>
      </c>
      <c r="D6" t="s">
        <v>23</v>
      </c>
      <c r="E6">
        <v>0.84</v>
      </c>
      <c r="F6" t="s">
        <v>24</v>
      </c>
      <c r="J6">
        <v>5.4</v>
      </c>
      <c r="K6" t="s">
        <v>24</v>
      </c>
      <c r="L6" t="s">
        <v>84</v>
      </c>
    </row>
    <row r="7" spans="1:12" x14ac:dyDescent="0.25">
      <c r="A7">
        <v>1990</v>
      </c>
      <c r="B7" t="s">
        <v>31</v>
      </c>
      <c r="C7">
        <v>633</v>
      </c>
      <c r="D7" t="s">
        <v>23</v>
      </c>
      <c r="E7">
        <v>0.26</v>
      </c>
      <c r="F7" t="s">
        <v>24</v>
      </c>
      <c r="G7">
        <v>1037</v>
      </c>
      <c r="H7" t="s">
        <v>24</v>
      </c>
      <c r="I7">
        <v>0.94499999999999995</v>
      </c>
      <c r="J7">
        <v>57</v>
      </c>
      <c r="K7" t="s">
        <v>24</v>
      </c>
      <c r="L7" t="s">
        <v>85</v>
      </c>
    </row>
    <row r="8" spans="1:12" x14ac:dyDescent="0.25">
      <c r="A8">
        <v>1990</v>
      </c>
      <c r="B8" t="s">
        <v>31</v>
      </c>
      <c r="C8">
        <v>630</v>
      </c>
      <c r="D8" t="s">
        <v>23</v>
      </c>
      <c r="E8">
        <v>0.64</v>
      </c>
      <c r="F8" t="s">
        <v>24</v>
      </c>
      <c r="J8">
        <v>52</v>
      </c>
      <c r="K8" t="s">
        <v>24</v>
      </c>
      <c r="L8" t="s">
        <v>86</v>
      </c>
    </row>
    <row r="9" spans="1:12" x14ac:dyDescent="0.25">
      <c r="A9">
        <v>1990</v>
      </c>
      <c r="B9" t="s">
        <v>31</v>
      </c>
      <c r="C9">
        <v>630</v>
      </c>
      <c r="D9" t="s">
        <v>23</v>
      </c>
      <c r="I9">
        <v>0.94499999999999995</v>
      </c>
      <c r="L9" t="s">
        <v>50</v>
      </c>
    </row>
    <row r="10" spans="1:12" x14ac:dyDescent="0.25">
      <c r="A10">
        <v>1990</v>
      </c>
      <c r="B10" t="s">
        <v>31</v>
      </c>
      <c r="C10">
        <v>630</v>
      </c>
      <c r="D10" t="s">
        <v>23</v>
      </c>
      <c r="E10">
        <v>0.65</v>
      </c>
      <c r="F10" t="s">
        <v>24</v>
      </c>
      <c r="J10">
        <v>35</v>
      </c>
      <c r="K10" t="s">
        <v>24</v>
      </c>
      <c r="L10" t="s">
        <v>87</v>
      </c>
    </row>
    <row r="11" spans="1:12" x14ac:dyDescent="0.25">
      <c r="A11">
        <v>1990</v>
      </c>
      <c r="B11" t="s">
        <v>31</v>
      </c>
      <c r="C11">
        <v>633</v>
      </c>
      <c r="D11" t="s">
        <v>23</v>
      </c>
      <c r="E11">
        <v>1.58</v>
      </c>
      <c r="F11" t="s">
        <v>24</v>
      </c>
      <c r="G11">
        <v>51</v>
      </c>
      <c r="H11" t="s">
        <v>24</v>
      </c>
      <c r="I11">
        <v>0.96</v>
      </c>
      <c r="J11">
        <v>2.04</v>
      </c>
      <c r="K11" t="s">
        <v>24</v>
      </c>
      <c r="L11" t="s">
        <v>88</v>
      </c>
    </row>
    <row r="12" spans="1:12" x14ac:dyDescent="0.25">
      <c r="A12">
        <v>1990</v>
      </c>
      <c r="B12" t="s">
        <v>31</v>
      </c>
      <c r="C12">
        <v>633</v>
      </c>
      <c r="D12" t="s">
        <v>23</v>
      </c>
      <c r="E12">
        <v>2.63</v>
      </c>
      <c r="F12" t="s">
        <v>24</v>
      </c>
      <c r="G12">
        <v>60.2</v>
      </c>
      <c r="H12" t="s">
        <v>24</v>
      </c>
      <c r="I12">
        <v>0.88</v>
      </c>
      <c r="J12">
        <v>7.22</v>
      </c>
      <c r="K12" t="s">
        <v>24</v>
      </c>
      <c r="L12" t="s">
        <v>89</v>
      </c>
    </row>
    <row r="13" spans="1:12" x14ac:dyDescent="0.25">
      <c r="A13">
        <v>2011</v>
      </c>
      <c r="B13" t="s">
        <v>141</v>
      </c>
      <c r="C13">
        <v>420</v>
      </c>
      <c r="D13" t="s">
        <v>23</v>
      </c>
      <c r="E13">
        <f>3.52/2</f>
        <v>1.76</v>
      </c>
      <c r="F13" t="s">
        <v>24</v>
      </c>
      <c r="J13">
        <f>(18.75+55.83)/2</f>
        <v>37.29</v>
      </c>
      <c r="K13" t="s">
        <v>24</v>
      </c>
      <c r="L13" t="s">
        <v>146</v>
      </c>
    </row>
    <row r="14" spans="1:12" x14ac:dyDescent="0.25">
      <c r="A14">
        <v>2011</v>
      </c>
      <c r="B14" t="s">
        <v>141</v>
      </c>
      <c r="C14">
        <v>532</v>
      </c>
      <c r="D14" t="s">
        <v>23</v>
      </c>
      <c r="E14">
        <f>3.86/2</f>
        <v>1.93</v>
      </c>
      <c r="F14" t="s">
        <v>24</v>
      </c>
      <c r="J14">
        <f>(0.2+46.3)/2</f>
        <v>23.25</v>
      </c>
      <c r="K14" t="s">
        <v>24</v>
      </c>
      <c r="L14" t="s">
        <v>147</v>
      </c>
    </row>
    <row r="15" spans="1:12" x14ac:dyDescent="0.25">
      <c r="A15">
        <v>2011</v>
      </c>
      <c r="B15" t="s">
        <v>141</v>
      </c>
      <c r="C15">
        <v>630</v>
      </c>
      <c r="D15" t="s">
        <v>23</v>
      </c>
      <c r="E15">
        <f>0.52/2</f>
        <v>0.26</v>
      </c>
      <c r="F15" t="s">
        <v>24</v>
      </c>
      <c r="J15">
        <f>(3.72+21.97)/2</f>
        <v>12.844999999999999</v>
      </c>
      <c r="K15" t="s">
        <v>24</v>
      </c>
      <c r="L15" t="s">
        <v>148</v>
      </c>
    </row>
    <row r="16" spans="1:12" x14ac:dyDescent="0.25">
      <c r="A16">
        <v>2011</v>
      </c>
      <c r="B16" t="s">
        <v>141</v>
      </c>
      <c r="C16">
        <v>760</v>
      </c>
      <c r="D16" t="s">
        <v>23</v>
      </c>
      <c r="E16">
        <f>0.28/2</f>
        <v>0.14000000000000001</v>
      </c>
      <c r="F16" t="s">
        <v>24</v>
      </c>
      <c r="J16">
        <f>14.5/2</f>
        <v>7.25</v>
      </c>
      <c r="K16" t="s">
        <v>24</v>
      </c>
      <c r="L16" t="s">
        <v>149</v>
      </c>
    </row>
    <row r="17" spans="1:12" x14ac:dyDescent="0.25">
      <c r="A17">
        <v>2011</v>
      </c>
      <c r="B17" t="s">
        <v>141</v>
      </c>
      <c r="C17">
        <v>780</v>
      </c>
      <c r="D17" t="s">
        <v>23</v>
      </c>
      <c r="E17">
        <f>0.167/2</f>
        <v>8.3500000000000005E-2</v>
      </c>
      <c r="F17" t="s">
        <v>24</v>
      </c>
      <c r="J17">
        <f>(8.42+9.16)/2</f>
        <v>8.7899999999999991</v>
      </c>
      <c r="K17" t="s">
        <v>24</v>
      </c>
      <c r="L17" t="s">
        <v>150</v>
      </c>
    </row>
    <row r="18" spans="1:12" x14ac:dyDescent="0.25">
      <c r="A18">
        <v>2013</v>
      </c>
      <c r="B18" t="s">
        <v>27</v>
      </c>
      <c r="C18">
        <v>590</v>
      </c>
      <c r="D18" t="s">
        <v>23</v>
      </c>
      <c r="J18">
        <f>10.9*POWER((C18/500),-0.334)</f>
        <v>10.313781048014883</v>
      </c>
      <c r="K18" t="s">
        <v>24</v>
      </c>
      <c r="L18" t="s">
        <v>180</v>
      </c>
    </row>
    <row r="19" spans="1:12" x14ac:dyDescent="0.25">
      <c r="A19">
        <v>2013</v>
      </c>
      <c r="B19" t="s">
        <v>27</v>
      </c>
      <c r="C19">
        <v>610</v>
      </c>
      <c r="D19" t="s">
        <v>23</v>
      </c>
      <c r="J19">
        <f t="shared" ref="J19:J21" si="0">10.9*POWER((C19/500),-0.334)</f>
        <v>10.19958060628702</v>
      </c>
      <c r="K19" t="s">
        <v>24</v>
      </c>
      <c r="L19" t="s">
        <v>180</v>
      </c>
    </row>
    <row r="20" spans="1:12" x14ac:dyDescent="0.25">
      <c r="A20">
        <v>2013</v>
      </c>
      <c r="B20" t="s">
        <v>27</v>
      </c>
      <c r="C20">
        <v>630</v>
      </c>
      <c r="D20" t="s">
        <v>23</v>
      </c>
      <c r="J20">
        <f t="shared" si="0"/>
        <v>10.09026880186463</v>
      </c>
      <c r="K20" t="s">
        <v>24</v>
      </c>
      <c r="L20" t="s">
        <v>180</v>
      </c>
    </row>
    <row r="21" spans="1:12" x14ac:dyDescent="0.25">
      <c r="A21">
        <v>2013</v>
      </c>
      <c r="B21" t="s">
        <v>27</v>
      </c>
      <c r="C21">
        <v>650</v>
      </c>
      <c r="D21" t="s">
        <v>23</v>
      </c>
      <c r="J21">
        <f t="shared" si="0"/>
        <v>9.9854908550458816</v>
      </c>
      <c r="K21" t="s">
        <v>24</v>
      </c>
      <c r="L21" t="s">
        <v>180</v>
      </c>
    </row>
    <row r="22" spans="1:12" x14ac:dyDescent="0.25">
      <c r="A22">
        <v>2013</v>
      </c>
      <c r="B22" t="s">
        <v>27</v>
      </c>
      <c r="C22">
        <v>590</v>
      </c>
      <c r="D22" t="s">
        <v>23</v>
      </c>
      <c r="J22">
        <f>11.6*POWER(C22/500, -0.601)</f>
        <v>10.501634593169991</v>
      </c>
      <c r="K22" t="s">
        <v>24</v>
      </c>
      <c r="L22" t="s">
        <v>181</v>
      </c>
    </row>
    <row r="23" spans="1:12" x14ac:dyDescent="0.25">
      <c r="A23">
        <v>2013</v>
      </c>
      <c r="B23" t="s">
        <v>27</v>
      </c>
      <c r="C23">
        <v>610</v>
      </c>
      <c r="D23" t="s">
        <v>23</v>
      </c>
      <c r="J23">
        <f t="shared" ref="J23:J25" si="1">11.6*POWER(C23/500, -0.601)</f>
        <v>10.293326081867926</v>
      </c>
      <c r="K23" t="s">
        <v>24</v>
      </c>
      <c r="L23" t="s">
        <v>181</v>
      </c>
    </row>
    <row r="24" spans="1:12" x14ac:dyDescent="0.25">
      <c r="A24">
        <v>2013</v>
      </c>
      <c r="B24" t="s">
        <v>27</v>
      </c>
      <c r="C24">
        <v>630</v>
      </c>
      <c r="D24" t="s">
        <v>23</v>
      </c>
      <c r="J24">
        <f t="shared" si="1"/>
        <v>10.095673379637487</v>
      </c>
      <c r="K24" t="s">
        <v>24</v>
      </c>
      <c r="L24" t="s">
        <v>181</v>
      </c>
    </row>
    <row r="25" spans="1:12" x14ac:dyDescent="0.25">
      <c r="A25">
        <v>2013</v>
      </c>
      <c r="B25" t="s">
        <v>27</v>
      </c>
      <c r="C25">
        <v>650</v>
      </c>
      <c r="D25" t="s">
        <v>23</v>
      </c>
      <c r="J25">
        <f t="shared" si="1"/>
        <v>9.9078183240223865</v>
      </c>
      <c r="K25" t="s">
        <v>24</v>
      </c>
      <c r="L25" t="s">
        <v>181</v>
      </c>
    </row>
    <row r="26" spans="1:12" x14ac:dyDescent="0.25">
      <c r="A26">
        <v>2013</v>
      </c>
      <c r="B26" t="s">
        <v>27</v>
      </c>
      <c r="C26">
        <v>590</v>
      </c>
      <c r="D26" t="s">
        <v>23</v>
      </c>
      <c r="J26">
        <f>21.5*POWER(C26/500,-1.629)</f>
        <v>16.418847534264003</v>
      </c>
      <c r="K26" t="s">
        <v>24</v>
      </c>
      <c r="L26" t="s">
        <v>182</v>
      </c>
    </row>
    <row r="27" spans="1:12" x14ac:dyDescent="0.25">
      <c r="A27">
        <v>2013</v>
      </c>
      <c r="B27" t="s">
        <v>27</v>
      </c>
      <c r="C27">
        <v>610</v>
      </c>
      <c r="D27" t="s">
        <v>23</v>
      </c>
      <c r="J27">
        <f t="shared" ref="J27:J29" si="2">21.5*POWER(C27/500,-1.629)</f>
        <v>15.55099908246836</v>
      </c>
      <c r="K27" t="s">
        <v>24</v>
      </c>
      <c r="L27" t="s">
        <v>183</v>
      </c>
    </row>
    <row r="28" spans="1:12" x14ac:dyDescent="0.25">
      <c r="A28">
        <v>2013</v>
      </c>
      <c r="B28" t="s">
        <v>27</v>
      </c>
      <c r="C28">
        <v>630</v>
      </c>
      <c r="D28" t="s">
        <v>23</v>
      </c>
      <c r="J28">
        <f t="shared" si="2"/>
        <v>14.754851466432093</v>
      </c>
      <c r="K28" t="s">
        <v>24</v>
      </c>
      <c r="L28" t="s">
        <v>184</v>
      </c>
    </row>
    <row r="29" spans="1:12" x14ac:dyDescent="0.25">
      <c r="A29">
        <v>2013</v>
      </c>
      <c r="B29" t="s">
        <v>27</v>
      </c>
      <c r="C29">
        <v>650</v>
      </c>
      <c r="D29" t="s">
        <v>23</v>
      </c>
      <c r="J29">
        <f t="shared" si="2"/>
        <v>14.022477086071893</v>
      </c>
      <c r="K29" t="s">
        <v>24</v>
      </c>
      <c r="L29" t="s">
        <v>185</v>
      </c>
    </row>
    <row r="30" spans="1:12" x14ac:dyDescent="0.25">
      <c r="A30">
        <v>2013</v>
      </c>
      <c r="B30" t="s">
        <v>27</v>
      </c>
      <c r="C30">
        <v>590</v>
      </c>
      <c r="D30" t="s">
        <v>23</v>
      </c>
      <c r="J30">
        <f>21.4*POWER(C30/500,-1.2)</f>
        <v>17.545080475933378</v>
      </c>
      <c r="K30" t="s">
        <v>24</v>
      </c>
      <c r="L30" t="s">
        <v>186</v>
      </c>
    </row>
    <row r="31" spans="1:12" x14ac:dyDescent="0.25">
      <c r="A31">
        <v>2013</v>
      </c>
      <c r="B31" t="s">
        <v>27</v>
      </c>
      <c r="C31">
        <v>610</v>
      </c>
      <c r="D31" t="s">
        <v>23</v>
      </c>
      <c r="J31">
        <f t="shared" ref="J31:J33" si="3">21.4*POWER(C31/500,-1.2)</f>
        <v>16.857065586254848</v>
      </c>
      <c r="K31" t="s">
        <v>24</v>
      </c>
      <c r="L31" t="s">
        <v>186</v>
      </c>
    </row>
    <row r="32" spans="1:12" x14ac:dyDescent="0.25">
      <c r="A32">
        <v>2013</v>
      </c>
      <c r="B32" t="s">
        <v>27</v>
      </c>
      <c r="C32">
        <v>630</v>
      </c>
      <c r="D32" t="s">
        <v>23</v>
      </c>
      <c r="J32">
        <f t="shared" si="3"/>
        <v>16.21694781595922</v>
      </c>
      <c r="K32" t="s">
        <v>24</v>
      </c>
      <c r="L32" t="s">
        <v>186</v>
      </c>
    </row>
    <row r="33" spans="1:12" x14ac:dyDescent="0.25">
      <c r="A33">
        <v>2013</v>
      </c>
      <c r="B33" t="s">
        <v>27</v>
      </c>
      <c r="C33">
        <v>650</v>
      </c>
      <c r="D33" t="s">
        <v>23</v>
      </c>
      <c r="J33">
        <f t="shared" si="3"/>
        <v>15.620025933208947</v>
      </c>
      <c r="K33" t="s">
        <v>24</v>
      </c>
      <c r="L33" t="s">
        <v>186</v>
      </c>
    </row>
    <row r="34" spans="1:12" x14ac:dyDescent="0.25">
      <c r="A34">
        <v>2011</v>
      </c>
      <c r="B34" t="s">
        <v>192</v>
      </c>
      <c r="C34">
        <v>674</v>
      </c>
      <c r="D34" t="s">
        <v>23</v>
      </c>
      <c r="E34">
        <v>2.5</v>
      </c>
      <c r="F34" t="s">
        <v>24</v>
      </c>
      <c r="L34" t="s">
        <v>194</v>
      </c>
    </row>
    <row r="35" spans="1:12" x14ac:dyDescent="0.25">
      <c r="A35">
        <v>2011</v>
      </c>
      <c r="B35" t="s">
        <v>192</v>
      </c>
      <c r="C35">
        <v>849</v>
      </c>
      <c r="D35" t="s">
        <v>23</v>
      </c>
      <c r="E35">
        <v>0.95</v>
      </c>
      <c r="F35" t="s">
        <v>24</v>
      </c>
      <c r="L35" t="s">
        <v>194</v>
      </c>
    </row>
    <row r="36" spans="1:12" x14ac:dyDescent="0.25">
      <c r="A36">
        <v>2011</v>
      </c>
      <c r="B36" t="s">
        <v>192</v>
      </c>
      <c r="C36">
        <v>956</v>
      </c>
      <c r="D36" t="s">
        <v>23</v>
      </c>
      <c r="E36">
        <v>0.9</v>
      </c>
      <c r="F36" t="s">
        <v>24</v>
      </c>
      <c r="L36" t="s">
        <v>194</v>
      </c>
    </row>
    <row r="37" spans="1:12" x14ac:dyDescent="0.25">
      <c r="A37">
        <v>2011</v>
      </c>
      <c r="B37" t="s">
        <v>192</v>
      </c>
      <c r="C37">
        <v>674</v>
      </c>
      <c r="D37" t="s">
        <v>23</v>
      </c>
      <c r="E37">
        <v>0.2</v>
      </c>
      <c r="F37" t="s">
        <v>24</v>
      </c>
      <c r="L37" t="s">
        <v>194</v>
      </c>
    </row>
    <row r="38" spans="1:12" x14ac:dyDescent="0.25">
      <c r="A38">
        <v>2011</v>
      </c>
      <c r="B38" t="s">
        <v>192</v>
      </c>
      <c r="C38">
        <v>811</v>
      </c>
      <c r="D38" t="s">
        <v>23</v>
      </c>
      <c r="E38">
        <v>0.2</v>
      </c>
      <c r="F38" t="s">
        <v>24</v>
      </c>
      <c r="L38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Contents</vt:lpstr>
      <vt:lpstr>Sources</vt:lpstr>
      <vt:lpstr>Adipose</vt:lpstr>
      <vt:lpstr>Aorta</vt:lpstr>
      <vt:lpstr>Bladder</vt:lpstr>
      <vt:lpstr>Blood</vt:lpstr>
      <vt:lpstr>Bone</vt:lpstr>
      <vt:lpstr>Bowel</vt:lpstr>
      <vt:lpstr>Brain</vt:lpstr>
      <vt:lpstr>Heart</vt:lpstr>
      <vt:lpstr>Kidney</vt:lpstr>
      <vt:lpstr>Liver</vt:lpstr>
      <vt:lpstr>Lung</vt:lpstr>
      <vt:lpstr>Muscle</vt:lpstr>
      <vt:lpstr>Skin</vt:lpstr>
      <vt:lpstr>Stomach</vt:lpstr>
      <vt:lpstr>Uterus</vt:lpstr>
      <vt:lpstr>Summary</vt:lpstr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Cham</dc:creator>
  <cp:lastModifiedBy>Alan Cham</cp:lastModifiedBy>
  <dcterms:created xsi:type="dcterms:W3CDTF">2016-02-28T21:01:19Z</dcterms:created>
  <dcterms:modified xsi:type="dcterms:W3CDTF">2016-03-19T02:18:31Z</dcterms:modified>
</cp:coreProperties>
</file>